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24" i="1" l="1"/>
  <c r="H23" i="1"/>
  <c r="G23" i="1"/>
  <c r="G24" i="1"/>
  <c r="H16" i="1"/>
  <c r="H6" i="1"/>
  <c r="H20" i="1" l="1"/>
  <c r="H15" i="1" s="1"/>
  <c r="H34" i="1" s="1"/>
  <c r="E19" i="1"/>
  <c r="E30" i="1" l="1"/>
  <c r="E29" i="1"/>
  <c r="E28" i="1"/>
  <c r="E26" i="1"/>
  <c r="E25" i="1"/>
  <c r="E21" i="1"/>
  <c r="E18" i="1"/>
  <c r="E17" i="1"/>
  <c r="E11" i="1" l="1"/>
  <c r="E9" i="1"/>
  <c r="E8" i="1"/>
  <c r="E7" i="1"/>
  <c r="E6" i="1" s="1"/>
  <c r="F33" i="1"/>
  <c r="F20" i="1" s="1"/>
  <c r="D28" i="1"/>
  <c r="D27" i="1"/>
  <c r="D30" i="1"/>
  <c r="D33" i="1"/>
  <c r="D23" i="1"/>
  <c r="E20" i="1"/>
  <c r="D16" i="1"/>
  <c r="E16" i="1"/>
  <c r="F16" i="1"/>
  <c r="D6" i="1"/>
  <c r="F6" i="1"/>
  <c r="C20" i="1"/>
  <c r="C16" i="1"/>
  <c r="C15" i="1" s="1"/>
  <c r="C6" i="1"/>
  <c r="C34" i="1" s="1"/>
  <c r="D20" i="1" l="1"/>
  <c r="D15" i="1" s="1"/>
  <c r="D34" i="1" s="1"/>
  <c r="E15" i="1"/>
  <c r="E34" i="1" s="1"/>
  <c r="G6" i="1"/>
  <c r="G20" i="1"/>
  <c r="G16" i="1"/>
  <c r="F15" i="1"/>
  <c r="F34" i="1" s="1"/>
  <c r="G15" i="1" l="1"/>
  <c r="G34" i="1" s="1"/>
</calcChain>
</file>

<file path=xl/sharedStrings.xml><?xml version="1.0" encoding="utf-8"?>
<sst xmlns="http://schemas.openxmlformats.org/spreadsheetml/2006/main" count="44" uniqueCount="44">
  <si>
    <t>Показники</t>
  </si>
  <si>
    <t>Доходи</t>
  </si>
  <si>
    <t>Масові катання</t>
  </si>
  <si>
    <t>Оренда приміщень</t>
  </si>
  <si>
    <t>Відшкодування комунальних послуг</t>
  </si>
  <si>
    <t>Оренда льоду</t>
  </si>
  <si>
    <t>Розміщення реклами</t>
  </si>
  <si>
    <t>Витрати</t>
  </si>
  <si>
    <t>% від продажу хокейних квитків</t>
  </si>
  <si>
    <t>Отримана фінпідтримка</t>
  </si>
  <si>
    <t>Передбачені асигнування</t>
  </si>
  <si>
    <t>ФОТ з нарахуваннями всього, в т.ч.</t>
  </si>
  <si>
    <t>нарахована заробітна плата</t>
  </si>
  <si>
    <t>нараховано единий соціальний внесок</t>
  </si>
  <si>
    <t>Комунальні послуги</t>
  </si>
  <si>
    <t>Витрати для забезпечення функціонування арени, в т.ч.</t>
  </si>
  <si>
    <t>паливно мастильні матеріали</t>
  </si>
  <si>
    <t>реклама на радіо</t>
  </si>
  <si>
    <t>інші матеріали для утримання задовільного технічного стану(холодоагент, електро і сантех товари,скло на борти)</t>
  </si>
  <si>
    <t>банківські послуги та обслуговування РРО</t>
  </si>
  <si>
    <t>послуги Нової пошти</t>
  </si>
  <si>
    <t>побутова хімія та господарські товари</t>
  </si>
  <si>
    <t>антисептичні засоби особистої гігієни</t>
  </si>
  <si>
    <t>сплата податків</t>
  </si>
  <si>
    <t>інші адміністративні послуги з  утримання(сайт,запр. картр.,канцтовари,папір,обс. програм,ЕЦП,поштові відправлення</t>
  </si>
  <si>
    <t>тех. обслуговування холодильного обладнання та льодорізної машини</t>
  </si>
  <si>
    <t>Баланс</t>
  </si>
  <si>
    <t>Факт 2020 рік, грн.</t>
  </si>
  <si>
    <t>План 2021 рік, грн.</t>
  </si>
  <si>
    <t>Очікування 2021 рік, грн.</t>
  </si>
  <si>
    <t>Прогноз на 2022 рік, грн.</t>
  </si>
  <si>
    <t>придбання ковзанів</t>
  </si>
  <si>
    <t>охорона вневідомча та відеоспостереження</t>
  </si>
  <si>
    <r>
      <t xml:space="preserve">проведення поточніх ремонтних робіт                             </t>
    </r>
    <r>
      <rPr>
        <i/>
        <sz val="12"/>
        <rFont val="Times New Roman"/>
        <family val="1"/>
        <charset val="204"/>
      </rPr>
      <t xml:space="preserve">( </t>
    </r>
    <r>
      <rPr>
        <sz val="12"/>
        <rFont val="Times New Roman"/>
        <family val="1"/>
        <charset val="204"/>
      </rPr>
      <t>фарбування плити поля, ремонт вентиляційної системи та електроживлення</t>
    </r>
    <r>
      <rPr>
        <i/>
        <sz val="12"/>
        <rFont val="Times New Roman"/>
        <family val="1"/>
        <charset val="204"/>
      </rPr>
      <t>)</t>
    </r>
  </si>
  <si>
    <t>Додаток 1</t>
  </si>
  <si>
    <t>на 2022-2024 роки</t>
  </si>
  <si>
    <t>Прогноз на 2023 рік, грн.</t>
  </si>
  <si>
    <t>Прогноз на 2024 рік, грн.</t>
  </si>
  <si>
    <t>Фінансово-економічний план КП "Дружківська льодова арена" Дружківської міської ради</t>
  </si>
  <si>
    <t xml:space="preserve">Фінансово-економічний план КП "Дружківська льодова арена" Дружківської міської ради на 2022-2024 роки підготовлено відділом з питань культури, </t>
  </si>
  <si>
    <t>сім'ї, молоді, спорту та туризму Дружківської міської ради</t>
  </si>
  <si>
    <t xml:space="preserve"> Начальник відділу з питань культури, сім'ї, молоді, спорту та туризму Дружківської міської ради  </t>
  </si>
  <si>
    <t>Секретар  міської ради                                                                                                       Костянтин  ХОРС</t>
  </si>
  <si>
    <t xml:space="preserve"> Юлія ПИВОВАР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</si>
</sst>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2" fontId="3" fillId="0" borderId="1" xfId="0" applyNumberFormat="1" applyFont="1" applyBorder="1"/>
    <xf numFmtId="2" fontId="0" fillId="0" borderId="1" xfId="0" applyNumberFormat="1" applyBorder="1"/>
    <xf numFmtId="0" fontId="4" fillId="0" borderId="1" xfId="0" applyFont="1" applyBorder="1"/>
    <xf numFmtId="0" fontId="5" fillId="0" borderId="1" xfId="0" applyFont="1" applyBorder="1"/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10" fontId="0" fillId="0" borderId="0" xfId="0" applyNumberFormat="1"/>
    <xf numFmtId="0" fontId="6" fillId="0" borderId="2" xfId="0" applyFont="1" applyBorder="1" applyAlignment="1">
      <alignment horizontal="right" vertical="top" wrapText="1"/>
    </xf>
    <xf numFmtId="0" fontId="2" fillId="0" borderId="0" xfId="0" applyFont="1" applyBorder="1"/>
    <xf numFmtId="2" fontId="3" fillId="0" borderId="0" xfId="0" applyNumberFormat="1" applyFont="1" applyBorder="1"/>
    <xf numFmtId="2" fontId="0" fillId="2" borderId="1" xfId="0" applyNumberFormat="1" applyFill="1" applyBorder="1"/>
    <xf numFmtId="0" fontId="0" fillId="0" borderId="1" xfId="0" applyFill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0" xfId="0" applyFont="1" applyAlignment="1"/>
    <xf numFmtId="0" fontId="8" fillId="0" borderId="0" xfId="0" applyFont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2"/>
  <sheetViews>
    <sheetView tabSelected="1" workbookViewId="0">
      <selection activeCell="G13" sqref="G13:H13"/>
    </sheetView>
  </sheetViews>
  <sheetFormatPr defaultRowHeight="15" x14ac:dyDescent="0.25"/>
  <cols>
    <col min="1" max="1" width="2.140625" customWidth="1"/>
    <col min="2" max="2" width="43.28515625" customWidth="1"/>
    <col min="3" max="3" width="16.28515625" customWidth="1"/>
    <col min="4" max="4" width="15.7109375" customWidth="1"/>
    <col min="5" max="5" width="15.140625" customWidth="1"/>
    <col min="6" max="6" width="15.85546875" customWidth="1"/>
    <col min="7" max="8" width="14.42578125" customWidth="1"/>
    <col min="12" max="12" width="14.28515625" bestFit="1" customWidth="1"/>
  </cols>
  <sheetData>
    <row r="1" spans="2:12" x14ac:dyDescent="0.25">
      <c r="G1" s="24" t="s">
        <v>34</v>
      </c>
      <c r="H1" s="24"/>
    </row>
    <row r="2" spans="2:12" ht="15.75" x14ac:dyDescent="0.25">
      <c r="B2" s="26" t="s">
        <v>38</v>
      </c>
      <c r="C2" s="26"/>
      <c r="D2" s="26"/>
      <c r="E2" s="26"/>
      <c r="F2" s="26"/>
      <c r="G2" s="26"/>
      <c r="H2" s="26"/>
    </row>
    <row r="3" spans="2:12" x14ac:dyDescent="0.25">
      <c r="B3" s="23" t="s">
        <v>35</v>
      </c>
      <c r="C3" s="23"/>
      <c r="D3" s="23"/>
      <c r="E3" s="23"/>
      <c r="F3" s="23"/>
      <c r="G3" s="23"/>
    </row>
    <row r="4" spans="2:12" ht="42" customHeight="1" x14ac:dyDescent="0.25">
      <c r="B4" s="1" t="s">
        <v>0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36</v>
      </c>
      <c r="H4" s="1" t="s">
        <v>37</v>
      </c>
    </row>
    <row r="5" spans="2:12" x14ac:dyDescent="0.25"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16">
        <v>7</v>
      </c>
    </row>
    <row r="6" spans="2:12" ht="18.75" x14ac:dyDescent="0.3">
      <c r="B6" s="3" t="s">
        <v>1</v>
      </c>
      <c r="C6" s="4">
        <f>SUM(C7:C14)</f>
        <v>6415229</v>
      </c>
      <c r="D6" s="4">
        <f t="shared" ref="D6:H6" si="0">SUM(D7:D14)</f>
        <v>5843300</v>
      </c>
      <c r="E6" s="4">
        <f t="shared" si="0"/>
        <v>7354899.96</v>
      </c>
      <c r="F6" s="4">
        <f t="shared" si="0"/>
        <v>1792077</v>
      </c>
      <c r="G6" s="17">
        <f t="shared" si="0"/>
        <v>1933875</v>
      </c>
      <c r="H6" s="17">
        <f t="shared" si="0"/>
        <v>2051040</v>
      </c>
    </row>
    <row r="7" spans="2:12" x14ac:dyDescent="0.25">
      <c r="B7" s="6" t="s">
        <v>2</v>
      </c>
      <c r="C7" s="5">
        <v>590005</v>
      </c>
      <c r="D7" s="5">
        <v>940000</v>
      </c>
      <c r="E7" s="5">
        <f>598130+200000</f>
        <v>798130</v>
      </c>
      <c r="F7" s="5">
        <v>978000</v>
      </c>
      <c r="G7" s="18">
        <v>409500</v>
      </c>
      <c r="H7" s="18">
        <v>435000</v>
      </c>
    </row>
    <row r="8" spans="2:12" x14ac:dyDescent="0.25">
      <c r="B8" s="6" t="s">
        <v>3</v>
      </c>
      <c r="C8" s="5">
        <v>93608</v>
      </c>
      <c r="D8" s="5">
        <v>110300</v>
      </c>
      <c r="E8" s="5">
        <f>70357.91+1700*3+100*3</f>
        <v>75757.91</v>
      </c>
      <c r="F8" s="5"/>
      <c r="G8" s="18"/>
      <c r="H8" s="18"/>
    </row>
    <row r="9" spans="2:12" x14ac:dyDescent="0.25">
      <c r="B9" s="6" t="s">
        <v>4</v>
      </c>
      <c r="C9" s="5">
        <v>44948</v>
      </c>
      <c r="D9" s="5">
        <v>63000</v>
      </c>
      <c r="E9" s="5">
        <f>38600.46+3700*3</f>
        <v>49700.46</v>
      </c>
      <c r="F9" s="5"/>
      <c r="G9" s="18"/>
      <c r="H9" s="18"/>
    </row>
    <row r="10" spans="2:12" x14ac:dyDescent="0.25">
      <c r="B10" s="6" t="s">
        <v>5</v>
      </c>
      <c r="C10" s="5">
        <v>3827431</v>
      </c>
      <c r="D10" s="5">
        <v>4700000</v>
      </c>
      <c r="E10" s="5">
        <v>1521470.49</v>
      </c>
      <c r="F10" s="5">
        <v>800000</v>
      </c>
      <c r="G10" s="18">
        <v>1509200</v>
      </c>
      <c r="H10" s="18">
        <v>1600000</v>
      </c>
    </row>
    <row r="11" spans="2:12" x14ac:dyDescent="0.25">
      <c r="B11" s="6" t="s">
        <v>6</v>
      </c>
      <c r="C11" s="5">
        <v>24137</v>
      </c>
      <c r="D11" s="5">
        <v>30000</v>
      </c>
      <c r="E11" s="5">
        <f>18102.51+2011.39*3+1200*3</f>
        <v>27736.68</v>
      </c>
      <c r="F11" s="5">
        <v>14077</v>
      </c>
      <c r="G11" s="18">
        <v>15175</v>
      </c>
      <c r="H11" s="18">
        <v>16040</v>
      </c>
    </row>
    <row r="12" spans="2:12" x14ac:dyDescent="0.25">
      <c r="B12" s="6" t="s">
        <v>8</v>
      </c>
      <c r="C12" s="5">
        <v>5456</v>
      </c>
      <c r="D12" s="5"/>
      <c r="E12" s="5">
        <v>2352</v>
      </c>
      <c r="F12" s="5"/>
      <c r="G12" s="18"/>
      <c r="H12" s="18"/>
    </row>
    <row r="13" spans="2:12" x14ac:dyDescent="0.25">
      <c r="B13" s="6" t="s">
        <v>9</v>
      </c>
      <c r="C13" s="5">
        <v>1829644</v>
      </c>
      <c r="D13" s="5"/>
      <c r="E13" s="15">
        <v>4780000</v>
      </c>
      <c r="F13" s="5"/>
      <c r="G13" s="18"/>
      <c r="H13" s="18"/>
    </row>
    <row r="14" spans="2:12" x14ac:dyDescent="0.25">
      <c r="B14" s="6" t="s">
        <v>10</v>
      </c>
      <c r="C14" s="5"/>
      <c r="D14" s="5"/>
      <c r="E14" s="15">
        <v>99752.42</v>
      </c>
      <c r="F14" s="5"/>
      <c r="G14" s="18"/>
      <c r="H14" s="8"/>
    </row>
    <row r="15" spans="2:12" ht="18.75" x14ac:dyDescent="0.3">
      <c r="B15" s="3" t="s">
        <v>7</v>
      </c>
      <c r="C15" s="4">
        <f>C16+C19+C20</f>
        <v>6370405</v>
      </c>
      <c r="D15" s="4">
        <f t="shared" ref="D15:H15" si="1">D16+D19+D20</f>
        <v>8609163</v>
      </c>
      <c r="E15" s="4">
        <f t="shared" si="1"/>
        <v>7245181.9199999999</v>
      </c>
      <c r="F15" s="4">
        <f t="shared" si="1"/>
        <v>8249567</v>
      </c>
      <c r="G15" s="17">
        <f t="shared" si="1"/>
        <v>8637196</v>
      </c>
      <c r="H15" s="17">
        <f t="shared" si="1"/>
        <v>8851652</v>
      </c>
      <c r="L15" s="11"/>
    </row>
    <row r="16" spans="2:12" ht="15.75" x14ac:dyDescent="0.25">
      <c r="B16" s="7" t="s">
        <v>11</v>
      </c>
      <c r="C16" s="5">
        <f>SUM(C17:C18)</f>
        <v>1810846</v>
      </c>
      <c r="D16" s="5">
        <f t="shared" ref="D16:H16" si="2">SUM(D17:D18)</f>
        <v>2631943</v>
      </c>
      <c r="E16" s="5">
        <f t="shared" si="2"/>
        <v>2424422.52</v>
      </c>
      <c r="F16" s="5">
        <f t="shared" si="2"/>
        <v>2729341</v>
      </c>
      <c r="G16" s="18">
        <f t="shared" si="2"/>
        <v>2829982</v>
      </c>
      <c r="H16" s="18">
        <f t="shared" si="2"/>
        <v>2904507</v>
      </c>
    </row>
    <row r="17" spans="2:8" x14ac:dyDescent="0.25">
      <c r="B17" s="8" t="s">
        <v>12</v>
      </c>
      <c r="C17" s="5">
        <v>1505543</v>
      </c>
      <c r="D17" s="5">
        <v>2174110</v>
      </c>
      <c r="E17" s="5">
        <f>1323973.42+168000*4</f>
        <v>1995973.42</v>
      </c>
      <c r="F17" s="5">
        <v>2237165</v>
      </c>
      <c r="G17" s="18">
        <v>2319657</v>
      </c>
      <c r="H17" s="18">
        <v>2380743</v>
      </c>
    </row>
    <row r="18" spans="2:8" x14ac:dyDescent="0.25">
      <c r="B18" s="8" t="s">
        <v>13</v>
      </c>
      <c r="C18" s="5">
        <v>305303</v>
      </c>
      <c r="D18" s="5">
        <v>457833</v>
      </c>
      <c r="E18" s="5">
        <f>280449.1+37000*4</f>
        <v>428449.1</v>
      </c>
      <c r="F18" s="5">
        <v>492176</v>
      </c>
      <c r="G18" s="18">
        <v>510325</v>
      </c>
      <c r="H18" s="18">
        <v>523764</v>
      </c>
    </row>
    <row r="19" spans="2:8" x14ac:dyDescent="0.25">
      <c r="B19" s="6" t="s">
        <v>14</v>
      </c>
      <c r="C19" s="5">
        <v>3404047</v>
      </c>
      <c r="D19" s="5">
        <v>4745200</v>
      </c>
      <c r="E19" s="5">
        <f>1928440+550000*4</f>
        <v>4128440</v>
      </c>
      <c r="F19" s="5">
        <v>4586586</v>
      </c>
      <c r="G19" s="18">
        <v>4870954</v>
      </c>
      <c r="H19" s="18">
        <v>5045272</v>
      </c>
    </row>
    <row r="20" spans="2:8" ht="29.25" customHeight="1" x14ac:dyDescent="0.25">
      <c r="B20" s="9" t="s">
        <v>15</v>
      </c>
      <c r="C20" s="5">
        <f>SUM(C21:C33)</f>
        <v>1155512</v>
      </c>
      <c r="D20" s="5">
        <f t="shared" ref="D20:H20" si="3">SUM(D21:D33)</f>
        <v>1232020</v>
      </c>
      <c r="E20" s="5">
        <f t="shared" si="3"/>
        <v>692319.4</v>
      </c>
      <c r="F20" s="5">
        <f t="shared" si="3"/>
        <v>933640</v>
      </c>
      <c r="G20" s="18">
        <f t="shared" si="3"/>
        <v>936260</v>
      </c>
      <c r="H20" s="18">
        <f t="shared" si="3"/>
        <v>901873</v>
      </c>
    </row>
    <row r="21" spans="2:8" x14ac:dyDescent="0.25">
      <c r="B21" s="8" t="s">
        <v>16</v>
      </c>
      <c r="C21" s="5">
        <v>66296</v>
      </c>
      <c r="D21" s="5">
        <v>101000</v>
      </c>
      <c r="E21" s="5">
        <f>34818+7000*4</f>
        <v>62818</v>
      </c>
      <c r="F21" s="5">
        <v>144000</v>
      </c>
      <c r="G21" s="18">
        <v>152000</v>
      </c>
      <c r="H21" s="18">
        <v>159600</v>
      </c>
    </row>
    <row r="22" spans="2:8" x14ac:dyDescent="0.25">
      <c r="B22" s="8" t="s">
        <v>17</v>
      </c>
      <c r="C22" s="5"/>
      <c r="D22" s="5"/>
      <c r="E22" s="5">
        <v>3780</v>
      </c>
      <c r="F22" s="5"/>
      <c r="G22" s="18">
        <v>6000</v>
      </c>
      <c r="H22" s="18">
        <v>6500</v>
      </c>
    </row>
    <row r="23" spans="2:8" ht="48" customHeight="1" x14ac:dyDescent="0.25">
      <c r="B23" s="10" t="s">
        <v>18</v>
      </c>
      <c r="C23" s="5">
        <v>251117</v>
      </c>
      <c r="D23" s="5">
        <f>150000</f>
        <v>150000</v>
      </c>
      <c r="E23" s="5">
        <v>62000</v>
      </c>
      <c r="F23" s="5"/>
      <c r="G23" s="18">
        <f>60000+31860</f>
        <v>91860</v>
      </c>
      <c r="H23" s="18">
        <f>60000+33453</f>
        <v>93453</v>
      </c>
    </row>
    <row r="24" spans="2:8" ht="61.5" customHeight="1" x14ac:dyDescent="0.25">
      <c r="B24" s="12" t="s">
        <v>33</v>
      </c>
      <c r="C24" s="5"/>
      <c r="D24" s="5"/>
      <c r="E24" s="5">
        <v>100000</v>
      </c>
      <c r="F24" s="5">
        <v>185000</v>
      </c>
      <c r="G24" s="18">
        <f>72000+300000</f>
        <v>372000</v>
      </c>
      <c r="H24" s="18">
        <f>16000+300000</f>
        <v>316000</v>
      </c>
    </row>
    <row r="25" spans="2:8" x14ac:dyDescent="0.25">
      <c r="B25" s="8" t="s">
        <v>19</v>
      </c>
      <c r="C25" s="5">
        <v>2666</v>
      </c>
      <c r="D25" s="5">
        <v>2360</v>
      </c>
      <c r="E25" s="5">
        <f>2780+350*4</f>
        <v>4180</v>
      </c>
      <c r="F25" s="5">
        <v>5400</v>
      </c>
      <c r="G25" s="18">
        <v>6000</v>
      </c>
      <c r="H25" s="18">
        <v>6300</v>
      </c>
    </row>
    <row r="26" spans="2:8" x14ac:dyDescent="0.25">
      <c r="B26" s="8" t="s">
        <v>20</v>
      </c>
      <c r="C26" s="5"/>
      <c r="D26" s="5"/>
      <c r="E26" s="5">
        <f>2381+300*4</f>
        <v>3581</v>
      </c>
      <c r="F26" s="5"/>
      <c r="G26" s="18">
        <v>5000</v>
      </c>
      <c r="H26" s="18">
        <v>6000</v>
      </c>
    </row>
    <row r="27" spans="2:8" x14ac:dyDescent="0.25">
      <c r="B27" s="8" t="s">
        <v>21</v>
      </c>
      <c r="C27" s="5">
        <v>13263</v>
      </c>
      <c r="D27" s="5">
        <f>10500</f>
        <v>10500</v>
      </c>
      <c r="E27" s="5">
        <v>3000</v>
      </c>
      <c r="F27" s="5">
        <v>18000</v>
      </c>
      <c r="G27" s="18">
        <v>19000</v>
      </c>
      <c r="H27" s="18">
        <v>19000</v>
      </c>
    </row>
    <row r="28" spans="2:8" x14ac:dyDescent="0.25">
      <c r="B28" s="8" t="s">
        <v>22</v>
      </c>
      <c r="C28" s="5">
        <v>8985</v>
      </c>
      <c r="D28" s="5">
        <f>7100</f>
        <v>7100</v>
      </c>
      <c r="E28" s="5">
        <f>6171.4+700*4</f>
        <v>8971.4</v>
      </c>
      <c r="F28" s="5">
        <v>6000</v>
      </c>
      <c r="G28" s="18">
        <v>6000</v>
      </c>
      <c r="H28" s="18">
        <v>6000</v>
      </c>
    </row>
    <row r="29" spans="2:8" ht="21.75" customHeight="1" x14ac:dyDescent="0.25">
      <c r="B29" s="10" t="s">
        <v>32</v>
      </c>
      <c r="C29" s="5">
        <v>18000</v>
      </c>
      <c r="D29" s="5">
        <v>19300</v>
      </c>
      <c r="E29" s="5">
        <f>18400+1800*4</f>
        <v>25600</v>
      </c>
      <c r="F29" s="5">
        <v>36000</v>
      </c>
      <c r="G29" s="18">
        <v>36000</v>
      </c>
      <c r="H29" s="18">
        <v>36000</v>
      </c>
    </row>
    <row r="30" spans="2:8" ht="60" x14ac:dyDescent="0.25">
      <c r="B30" s="10" t="s">
        <v>24</v>
      </c>
      <c r="C30" s="5">
        <v>213215</v>
      </c>
      <c r="D30" s="5">
        <f>46660+4300</f>
        <v>50960</v>
      </c>
      <c r="E30" s="5">
        <f>28989+3600*4</f>
        <v>43389</v>
      </c>
      <c r="F30" s="5">
        <v>29280</v>
      </c>
      <c r="G30" s="18">
        <v>30000</v>
      </c>
      <c r="H30" s="18">
        <v>30000</v>
      </c>
    </row>
    <row r="31" spans="2:8" x14ac:dyDescent="0.25">
      <c r="B31" s="8" t="s">
        <v>23</v>
      </c>
      <c r="C31" s="5">
        <v>526708</v>
      </c>
      <c r="D31" s="5">
        <v>500000</v>
      </c>
      <c r="E31" s="5"/>
      <c r="F31" s="5"/>
      <c r="G31" s="18"/>
      <c r="H31" s="8"/>
    </row>
    <row r="32" spans="2:8" x14ac:dyDescent="0.25">
      <c r="B32" s="8" t="s">
        <v>31</v>
      </c>
      <c r="C32" s="5"/>
      <c r="D32" s="5">
        <v>211800</v>
      </c>
      <c r="E32" s="5"/>
      <c r="F32" s="5">
        <v>279960</v>
      </c>
      <c r="G32" s="18"/>
      <c r="H32" s="8"/>
    </row>
    <row r="33" spans="2:8" ht="30" x14ac:dyDescent="0.25">
      <c r="B33" s="10" t="s">
        <v>25</v>
      </c>
      <c r="C33" s="5">
        <v>55262</v>
      </c>
      <c r="D33" s="5">
        <f>179000</f>
        <v>179000</v>
      </c>
      <c r="E33" s="5">
        <v>375000</v>
      </c>
      <c r="F33" s="5">
        <f>30000+200000</f>
        <v>230000</v>
      </c>
      <c r="G33" s="18">
        <v>212400</v>
      </c>
      <c r="H33" s="18">
        <v>223020</v>
      </c>
    </row>
    <row r="34" spans="2:8" ht="18.75" x14ac:dyDescent="0.3">
      <c r="B34" s="3" t="s">
        <v>26</v>
      </c>
      <c r="C34" s="4">
        <f>C6-C15</f>
        <v>44824</v>
      </c>
      <c r="D34" s="4">
        <f t="shared" ref="D34:H34" si="4">D6-D15</f>
        <v>-2765863</v>
      </c>
      <c r="E34" s="4">
        <f t="shared" si="4"/>
        <v>109718.04000000004</v>
      </c>
      <c r="F34" s="17">
        <f t="shared" si="4"/>
        <v>-6457490</v>
      </c>
      <c r="G34" s="17">
        <f t="shared" si="4"/>
        <v>-6703321</v>
      </c>
      <c r="H34" s="17">
        <f t="shared" si="4"/>
        <v>-6800612</v>
      </c>
    </row>
    <row r="35" spans="2:8" ht="18.75" x14ac:dyDescent="0.3">
      <c r="B35" s="13"/>
      <c r="C35" s="14"/>
      <c r="D35" s="14"/>
      <c r="E35" s="14"/>
      <c r="F35" s="14"/>
      <c r="G35" s="14"/>
    </row>
    <row r="37" spans="2:8" s="20" customFormat="1" ht="15.75" x14ac:dyDescent="0.25">
      <c r="B37" s="20" t="s">
        <v>42</v>
      </c>
      <c r="G37" s="21"/>
    </row>
    <row r="39" spans="2:8" x14ac:dyDescent="0.25">
      <c r="B39" s="19" t="s">
        <v>39</v>
      </c>
    </row>
    <row r="40" spans="2:8" x14ac:dyDescent="0.25">
      <c r="B40" s="19" t="s">
        <v>40</v>
      </c>
    </row>
    <row r="41" spans="2:8" x14ac:dyDescent="0.25">
      <c r="B41" s="19"/>
    </row>
    <row r="42" spans="2:8" s="19" customFormat="1" ht="45" x14ac:dyDescent="0.25">
      <c r="B42" s="22" t="s">
        <v>41</v>
      </c>
      <c r="E42" s="25" t="s">
        <v>43</v>
      </c>
      <c r="F42" s="25"/>
    </row>
  </sheetData>
  <mergeCells count="4">
    <mergeCell ref="B3:G3"/>
    <mergeCell ref="G1:H1"/>
    <mergeCell ref="E42:F42"/>
    <mergeCell ref="B2:H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2021-11-08T10:12:56Z</dcterms:modified>
</cp:coreProperties>
</file>