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 updateLinks="always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D:\2021 Дружківка\2.Виконкоми\2.Виконком 09.02.2022\Проекти виконком 09.02.2022\"/>
    </mc:Choice>
  </mc:AlternateContent>
  <xr:revisionPtr revIDLastSave="0" documentId="13_ncr:1_{063B94B1-FDA4-4D85-8B79-BB2D132DFB62}" xr6:coauthVersionLast="46" xr6:coauthVersionMax="47" xr10:uidLastSave="{00000000-0000-0000-0000-000000000000}"/>
  <bookViews>
    <workbookView xWindow="-120" yWindow="-120" windowWidth="20730" windowHeight="11160" tabRatio="789" firstSheet="5" activeTab="5" xr2:uid="{00000000-000D-0000-FFFF-FFFF00000000}"/>
  </bookViews>
  <sheets>
    <sheet name="уд нормы" sheetId="346" state="hidden" r:id="rId1"/>
    <sheet name="расчет УРТ и КПД" sheetId="194" state="hidden" r:id="rId2"/>
    <sheet name="удел. затраты топлива" sheetId="353" state="hidden" r:id="rId3"/>
    <sheet name="субаренда" sheetId="412" state="hidden" r:id="rId4"/>
    <sheet name="расчет потерь горск" sheetId="195" state="hidden" r:id="rId5"/>
    <sheet name="структура тарифа дружк" sheetId="429" r:id="rId6"/>
    <sheet name="расчет потерь золотое" sheetId="253" state="hidden" r:id="rId7"/>
    <sheet name="мини Тошков поссовет" sheetId="251" state="hidden" r:id="rId8"/>
    <sheet name="расчет потерь тошковка" sheetId="274" state="hidden" r:id="rId9"/>
  </sheets>
  <externalReferences>
    <externalReference r:id="rId10"/>
  </externalReferences>
  <definedNames>
    <definedName name="_xlnm.Print_Titles" localSheetId="2">'удел. затраты топлива'!$2:$3</definedName>
    <definedName name="_xlnm.Print_Area" localSheetId="4">'расчет потерь горск'!$A$1:$AC$238</definedName>
    <definedName name="_xlnm.Print_Area" localSheetId="6">'расчет потерь золотое'!$A$1:$AC$86</definedName>
    <definedName name="_xlnm.Print_Area" localSheetId="8">'расчет потерь тошковка'!$A$1:$AC$66</definedName>
    <definedName name="_xlnm.Print_Area" localSheetId="1">'расчет УРТ и КПД'!$A$1:$I$132</definedName>
    <definedName name="_xlnm.Print_Area" localSheetId="5">'структура тарифа дружк'!$A$1:$N$56</definedName>
    <definedName name="отклонение" localSheetId="6">'[1]Вхідні дані'!#REF!</definedName>
    <definedName name="отклонение" localSheetId="8">'[1]Вхідні дані'!#REF!</definedName>
    <definedName name="отклонение">'[1]Вхідні дані'!#REF!</definedName>
  </definedNames>
  <calcPr calcId="191029"/>
  <fileRecoveryPr autoRecover="0"/>
</workbook>
</file>

<file path=xl/calcChain.xml><?xml version="1.0" encoding="utf-8"?>
<calcChain xmlns="http://schemas.openxmlformats.org/spreadsheetml/2006/main">
  <c r="D4" i="274" l="1"/>
  <c r="I4" i="274"/>
  <c r="I11" i="274" s="1"/>
  <c r="D5" i="274"/>
  <c r="I5" i="274"/>
  <c r="C5" i="274" s="1"/>
  <c r="D6" i="274"/>
  <c r="I6" i="274"/>
  <c r="C6" i="274" s="1"/>
  <c r="D7" i="274"/>
  <c r="I7" i="274"/>
  <c r="D8" i="274"/>
  <c r="I8" i="274"/>
  <c r="D9" i="274"/>
  <c r="I9" i="274"/>
  <c r="C9" i="274" s="1"/>
  <c r="D10" i="274"/>
  <c r="I10" i="274"/>
  <c r="C10" i="274" s="1"/>
  <c r="H11" i="274"/>
  <c r="T43" i="274"/>
  <c r="U43" i="274"/>
  <c r="T45" i="274"/>
  <c r="U45" i="274"/>
  <c r="G59" i="274"/>
  <c r="J59" i="274" s="1"/>
  <c r="L59" i="274"/>
  <c r="N59" i="274" s="1"/>
  <c r="G62" i="274"/>
  <c r="J62" i="274" s="1"/>
  <c r="L62" i="274"/>
  <c r="R62" i="274" s="1"/>
  <c r="C65" i="274"/>
  <c r="D65" i="274"/>
  <c r="J4" i="251"/>
  <c r="C5" i="251"/>
  <c r="J5" i="251" s="1"/>
  <c r="D5" i="251"/>
  <c r="D7" i="251"/>
  <c r="E5" i="251"/>
  <c r="E7" i="251"/>
  <c r="F5" i="251"/>
  <c r="F7" i="251"/>
  <c r="G5" i="251"/>
  <c r="G7" i="251"/>
  <c r="H5" i="251"/>
  <c r="H7" i="251"/>
  <c r="I5" i="251"/>
  <c r="I7" i="251"/>
  <c r="J12" i="251"/>
  <c r="D4" i="253"/>
  <c r="I4" i="253"/>
  <c r="C4" i="253" s="1"/>
  <c r="C11" i="253" s="1"/>
  <c r="D5" i="253"/>
  <c r="I5" i="253"/>
  <c r="C5" i="253" s="1"/>
  <c r="D6" i="253"/>
  <c r="I6" i="253"/>
  <c r="C6" i="253" s="1"/>
  <c r="D7" i="253"/>
  <c r="I7" i="253"/>
  <c r="C7" i="253" s="1"/>
  <c r="D8" i="253"/>
  <c r="I8" i="253"/>
  <c r="C8" i="253" s="1"/>
  <c r="D9" i="253"/>
  <c r="I9" i="253"/>
  <c r="C9" i="253" s="1"/>
  <c r="D10" i="253"/>
  <c r="I10" i="253"/>
  <c r="C10" i="253" s="1"/>
  <c r="H11" i="253"/>
  <c r="T43" i="253"/>
  <c r="U43" i="253"/>
  <c r="T45" i="253"/>
  <c r="U45" i="253"/>
  <c r="L59" i="253"/>
  <c r="N59" i="253" s="1"/>
  <c r="L60" i="253"/>
  <c r="N60" i="253" s="1"/>
  <c r="G61" i="253"/>
  <c r="J61" i="253" s="1"/>
  <c r="L61" i="253"/>
  <c r="P61" i="253" s="1"/>
  <c r="L62" i="253"/>
  <c r="P62" i="253" s="1"/>
  <c r="V62" i="253"/>
  <c r="G63" i="253"/>
  <c r="J63" i="253" s="1"/>
  <c r="L63" i="253"/>
  <c r="P63" i="253" s="1"/>
  <c r="T63" i="253"/>
  <c r="L64" i="253"/>
  <c r="N64" i="253" s="1"/>
  <c r="L65" i="253"/>
  <c r="N65" i="253" s="1"/>
  <c r="G66" i="253"/>
  <c r="J66" i="253" s="1"/>
  <c r="L66" i="253"/>
  <c r="T66" i="253" s="1"/>
  <c r="C67" i="253"/>
  <c r="D67" i="253"/>
  <c r="L70" i="253"/>
  <c r="G71" i="253"/>
  <c r="J71" i="253" s="1"/>
  <c r="L71" i="253"/>
  <c r="X71" i="253" s="1"/>
  <c r="L72" i="253"/>
  <c r="P72" i="253" s="1"/>
  <c r="G73" i="253"/>
  <c r="J73" i="253" s="1"/>
  <c r="L73" i="253"/>
  <c r="T73" i="253" s="1"/>
  <c r="L74" i="253"/>
  <c r="T74" i="253" s="1"/>
  <c r="G75" i="253"/>
  <c r="J75" i="253" s="1"/>
  <c r="L75" i="253"/>
  <c r="P75" i="253" s="1"/>
  <c r="L76" i="253"/>
  <c r="G77" i="253"/>
  <c r="J77" i="253" s="1"/>
  <c r="L77" i="253"/>
  <c r="L78" i="253"/>
  <c r="C79" i="253"/>
  <c r="D79" i="253"/>
  <c r="G82" i="253"/>
  <c r="J82" i="253" s="1"/>
  <c r="L82" i="253"/>
  <c r="P82" i="253" s="1"/>
  <c r="O9" i="353"/>
  <c r="O30" i="353" s="1"/>
  <c r="D4" i="195"/>
  <c r="I4" i="195"/>
  <c r="D5" i="195"/>
  <c r="I5" i="195"/>
  <c r="C5" i="195" s="1"/>
  <c r="D6" i="195"/>
  <c r="I6" i="195"/>
  <c r="C6" i="195" s="1"/>
  <c r="D7" i="195"/>
  <c r="I7" i="195"/>
  <c r="C7" i="195" s="1"/>
  <c r="D8" i="195"/>
  <c r="I8" i="195"/>
  <c r="C8" i="195" s="1"/>
  <c r="D9" i="195"/>
  <c r="I9" i="195"/>
  <c r="C9" i="195" s="1"/>
  <c r="D10" i="195"/>
  <c r="I10" i="195"/>
  <c r="C10" i="195" s="1"/>
  <c r="H11" i="195"/>
  <c r="T43" i="195"/>
  <c r="U43" i="195"/>
  <c r="T45" i="195"/>
  <c r="U45" i="195"/>
  <c r="L59" i="195"/>
  <c r="T59" i="195" s="1"/>
  <c r="G60" i="195"/>
  <c r="J60" i="195" s="1"/>
  <c r="L60" i="195"/>
  <c r="L61" i="195"/>
  <c r="G62" i="195"/>
  <c r="J62" i="195" s="1"/>
  <c r="L62" i="195"/>
  <c r="N62" i="195" s="1"/>
  <c r="L63" i="195"/>
  <c r="N63" i="195" s="1"/>
  <c r="G64" i="195"/>
  <c r="J64" i="195" s="1"/>
  <c r="L64" i="195"/>
  <c r="L65" i="195"/>
  <c r="L66" i="195"/>
  <c r="C67" i="195"/>
  <c r="D67" i="195"/>
  <c r="C68" i="195"/>
  <c r="D68" i="195"/>
  <c r="G70" i="195"/>
  <c r="J70" i="195" s="1"/>
  <c r="L70" i="195"/>
  <c r="P70" i="195" s="1"/>
  <c r="G71" i="195"/>
  <c r="J71" i="195" s="1"/>
  <c r="L71" i="195"/>
  <c r="R71" i="195" s="1"/>
  <c r="G72" i="195"/>
  <c r="J72" i="195" s="1"/>
  <c r="L72" i="195"/>
  <c r="V72" i="195" s="1"/>
  <c r="G73" i="195"/>
  <c r="J73" i="195" s="1"/>
  <c r="L73" i="195"/>
  <c r="X73" i="195" s="1"/>
  <c r="G74" i="195"/>
  <c r="J74" i="195" s="1"/>
  <c r="L74" i="195"/>
  <c r="N74" i="195" s="1"/>
  <c r="L75" i="195"/>
  <c r="N75" i="195" s="1"/>
  <c r="G76" i="195"/>
  <c r="J76" i="195" s="1"/>
  <c r="L76" i="195"/>
  <c r="R76" i="195" s="1"/>
  <c r="G77" i="195"/>
  <c r="J77" i="195" s="1"/>
  <c r="L77" i="195"/>
  <c r="G78" i="195"/>
  <c r="J78" i="195" s="1"/>
  <c r="L78" i="195"/>
  <c r="R78" i="195" s="1"/>
  <c r="G79" i="195"/>
  <c r="J79" i="195" s="1"/>
  <c r="L79" i="195"/>
  <c r="N79" i="195" s="1"/>
  <c r="G80" i="195"/>
  <c r="J80" i="195" s="1"/>
  <c r="L80" i="195"/>
  <c r="P80" i="195" s="1"/>
  <c r="G81" i="195"/>
  <c r="J81" i="195" s="1"/>
  <c r="L81" i="195"/>
  <c r="N81" i="195" s="1"/>
  <c r="G82" i="195"/>
  <c r="J82" i="195" s="1"/>
  <c r="L82" i="195"/>
  <c r="P82" i="195" s="1"/>
  <c r="C83" i="195"/>
  <c r="D83" i="195"/>
  <c r="C84" i="195"/>
  <c r="D84" i="195"/>
  <c r="L86" i="195"/>
  <c r="R86" i="195" s="1"/>
  <c r="G87" i="195"/>
  <c r="J87" i="195" s="1"/>
  <c r="L87" i="195"/>
  <c r="R87" i="195" s="1"/>
  <c r="L88" i="195"/>
  <c r="P88" i="195" s="1"/>
  <c r="L89" i="195"/>
  <c r="P89" i="195" s="1"/>
  <c r="C90" i="195"/>
  <c r="D90" i="195"/>
  <c r="C91" i="195"/>
  <c r="D91" i="195"/>
  <c r="L93" i="195"/>
  <c r="P93" i="195" s="1"/>
  <c r="G94" i="195"/>
  <c r="J94" i="195" s="1"/>
  <c r="L94" i="195"/>
  <c r="T94" i="195" s="1"/>
  <c r="L95" i="195"/>
  <c r="N95" i="195" s="1"/>
  <c r="L96" i="195"/>
  <c r="T96" i="195" s="1"/>
  <c r="G97" i="195"/>
  <c r="J97" i="195" s="1"/>
  <c r="L97" i="195"/>
  <c r="N97" i="195" s="1"/>
  <c r="G98" i="195"/>
  <c r="J98" i="195" s="1"/>
  <c r="L98" i="195"/>
  <c r="T98" i="195" s="1"/>
  <c r="L99" i="195"/>
  <c r="N99" i="195" s="1"/>
  <c r="G100" i="195"/>
  <c r="J100" i="195" s="1"/>
  <c r="L100" i="195"/>
  <c r="P100" i="195" s="1"/>
  <c r="G101" i="195"/>
  <c r="J101" i="195" s="1"/>
  <c r="L101" i="195"/>
  <c r="L102" i="195"/>
  <c r="N102" i="195" s="1"/>
  <c r="L103" i="195"/>
  <c r="N103" i="195" s="1"/>
  <c r="L104" i="195"/>
  <c r="T104" i="195" s="1"/>
  <c r="G105" i="195"/>
  <c r="J105" i="195" s="1"/>
  <c r="L105" i="195"/>
  <c r="P105" i="195" s="1"/>
  <c r="C106" i="195"/>
  <c r="D106" i="195"/>
  <c r="C107" i="195"/>
  <c r="D107" i="195"/>
  <c r="L109" i="195"/>
  <c r="P109" i="195" s="1"/>
  <c r="G110" i="195"/>
  <c r="J110" i="195" s="1"/>
  <c r="L110" i="195"/>
  <c r="V110" i="195" s="1"/>
  <c r="L111" i="195"/>
  <c r="N111" i="195" s="1"/>
  <c r="G112" i="195"/>
  <c r="J112" i="195" s="1"/>
  <c r="L112" i="195"/>
  <c r="N112" i="195" s="1"/>
  <c r="G113" i="195"/>
  <c r="J113" i="195" s="1"/>
  <c r="L113" i="195"/>
  <c r="C114" i="195"/>
  <c r="D114" i="195"/>
  <c r="G117" i="195"/>
  <c r="J117" i="195" s="1"/>
  <c r="L117" i="195"/>
  <c r="R117" i="195" s="1"/>
  <c r="L118" i="195"/>
  <c r="P118" i="195" s="1"/>
  <c r="L119" i="195"/>
  <c r="P119" i="195" s="1"/>
  <c r="G120" i="195"/>
  <c r="J120" i="195" s="1"/>
  <c r="L120" i="195"/>
  <c r="T120" i="195" s="1"/>
  <c r="L121" i="195"/>
  <c r="N121" i="195" s="1"/>
  <c r="C122" i="195"/>
  <c r="D122" i="195"/>
  <c r="L125" i="195"/>
  <c r="N125" i="195" s="1"/>
  <c r="G126" i="195"/>
  <c r="J126" i="195" s="1"/>
  <c r="L126" i="195"/>
  <c r="T126" i="195" s="1"/>
  <c r="L127" i="195"/>
  <c r="T127" i="195" s="1"/>
  <c r="G128" i="195"/>
  <c r="J128" i="195" s="1"/>
  <c r="L128" i="195"/>
  <c r="N128" i="195" s="1"/>
  <c r="L129" i="195"/>
  <c r="N129" i="195" s="1"/>
  <c r="G130" i="195"/>
  <c r="J130" i="195" s="1"/>
  <c r="L130" i="195"/>
  <c r="T130" i="195" s="1"/>
  <c r="L131" i="195"/>
  <c r="T131" i="195" s="1"/>
  <c r="G132" i="195"/>
  <c r="J132" i="195" s="1"/>
  <c r="L132" i="195"/>
  <c r="N132" i="195" s="1"/>
  <c r="G133" i="195"/>
  <c r="J133" i="195" s="1"/>
  <c r="L133" i="195"/>
  <c r="T133" i="195" s="1"/>
  <c r="L134" i="195"/>
  <c r="T134" i="195" s="1"/>
  <c r="G135" i="195"/>
  <c r="J135" i="195" s="1"/>
  <c r="L135" i="195"/>
  <c r="R135" i="195" s="1"/>
  <c r="G136" i="195"/>
  <c r="J136" i="195" s="1"/>
  <c r="L136" i="195"/>
  <c r="N136" i="195" s="1"/>
  <c r="G137" i="195"/>
  <c r="J137" i="195" s="1"/>
  <c r="L137" i="195"/>
  <c r="N137" i="195" s="1"/>
  <c r="G138" i="195"/>
  <c r="J138" i="195" s="1"/>
  <c r="L138" i="195"/>
  <c r="R138" i="195" s="1"/>
  <c r="L139" i="195"/>
  <c r="R139" i="195" s="1"/>
  <c r="G140" i="195"/>
  <c r="J140" i="195" s="1"/>
  <c r="L140" i="195"/>
  <c r="N140" i="195" s="1"/>
  <c r="C141" i="195"/>
  <c r="D141" i="195"/>
  <c r="C142" i="195"/>
  <c r="D142" i="195"/>
  <c r="G144" i="195"/>
  <c r="J144" i="195" s="1"/>
  <c r="L144" i="195"/>
  <c r="V144" i="195" s="1"/>
  <c r="G145" i="195"/>
  <c r="J145" i="195" s="1"/>
  <c r="L145" i="195"/>
  <c r="V145" i="195" s="1"/>
  <c r="G146" i="195"/>
  <c r="J146" i="195" s="1"/>
  <c r="L146" i="195"/>
  <c r="X146" i="195" s="1"/>
  <c r="G147" i="195"/>
  <c r="J147" i="195" s="1"/>
  <c r="L147" i="195"/>
  <c r="V147" i="195" s="1"/>
  <c r="G148" i="195"/>
  <c r="J148" i="195" s="1"/>
  <c r="L148" i="195"/>
  <c r="G149" i="195"/>
  <c r="J149" i="195" s="1"/>
  <c r="L149" i="195"/>
  <c r="V149" i="195" s="1"/>
  <c r="G150" i="195"/>
  <c r="J150" i="195" s="1"/>
  <c r="L150" i="195"/>
  <c r="X150" i="195" s="1"/>
  <c r="G151" i="195"/>
  <c r="J151" i="195" s="1"/>
  <c r="L151" i="195"/>
  <c r="Z151" i="195" s="1"/>
  <c r="C152" i="195"/>
  <c r="D152" i="195"/>
  <c r="L155" i="195"/>
  <c r="R155" i="195" s="1"/>
  <c r="L156" i="195"/>
  <c r="X156" i="195" s="1"/>
  <c r="G157" i="195"/>
  <c r="J157" i="195" s="1"/>
  <c r="L157" i="195"/>
  <c r="P157" i="195" s="1"/>
  <c r="L158" i="195"/>
  <c r="P158" i="195" s="1"/>
  <c r="G159" i="195"/>
  <c r="J159" i="195" s="1"/>
  <c r="L159" i="195"/>
  <c r="V159" i="195" s="1"/>
  <c r="L160" i="195"/>
  <c r="L161" i="195"/>
  <c r="N161" i="195" s="1"/>
  <c r="Z161" i="195"/>
  <c r="G162" i="195"/>
  <c r="J162" i="195" s="1"/>
  <c r="L162" i="195"/>
  <c r="N162" i="195" s="1"/>
  <c r="C163" i="195"/>
  <c r="D163" i="195"/>
  <c r="L166" i="195"/>
  <c r="V166" i="195" s="1"/>
  <c r="G167" i="195"/>
  <c r="J167" i="195" s="1"/>
  <c r="L167" i="195"/>
  <c r="L168" i="195"/>
  <c r="Z168" i="195" s="1"/>
  <c r="G169" i="195"/>
  <c r="J169" i="195" s="1"/>
  <c r="L169" i="195"/>
  <c r="P169" i="195" s="1"/>
  <c r="L170" i="195"/>
  <c r="G171" i="195"/>
  <c r="J171" i="195" s="1"/>
  <c r="L171" i="195"/>
  <c r="Z171" i="195" s="1"/>
  <c r="L172" i="195"/>
  <c r="P172" i="195" s="1"/>
  <c r="G173" i="195"/>
  <c r="J173" i="195" s="1"/>
  <c r="L173" i="195"/>
  <c r="P173" i="195" s="1"/>
  <c r="L174" i="195"/>
  <c r="X174" i="195" s="1"/>
  <c r="C175" i="195"/>
  <c r="D175" i="195"/>
  <c r="L178" i="195"/>
  <c r="T178" i="195" s="1"/>
  <c r="G179" i="195"/>
  <c r="J179" i="195" s="1"/>
  <c r="L179" i="195"/>
  <c r="R179" i="195" s="1"/>
  <c r="L180" i="195"/>
  <c r="R180" i="195" s="1"/>
  <c r="V180" i="195"/>
  <c r="G181" i="195"/>
  <c r="J181" i="195" s="1"/>
  <c r="L181" i="195"/>
  <c r="T181" i="195" s="1"/>
  <c r="L182" i="195"/>
  <c r="T182" i="195" s="1"/>
  <c r="G183" i="195"/>
  <c r="J183" i="195" s="1"/>
  <c r="L183" i="195"/>
  <c r="T183" i="195" s="1"/>
  <c r="G184" i="195"/>
  <c r="J184" i="195" s="1"/>
  <c r="L184" i="195"/>
  <c r="N184" i="195" s="1"/>
  <c r="L185" i="195"/>
  <c r="N185" i="195" s="1"/>
  <c r="G186" i="195"/>
  <c r="J186" i="195" s="1"/>
  <c r="L186" i="195"/>
  <c r="N186" i="195" s="1"/>
  <c r="C187" i="195"/>
  <c r="D187" i="195"/>
  <c r="L190" i="195"/>
  <c r="G191" i="195"/>
  <c r="J191" i="195" s="1"/>
  <c r="L191" i="195"/>
  <c r="N191" i="195" s="1"/>
  <c r="L192" i="195"/>
  <c r="P192" i="195" s="1"/>
  <c r="G193" i="195"/>
  <c r="J193" i="195" s="1"/>
  <c r="L193" i="195"/>
  <c r="R193" i="195" s="1"/>
  <c r="L194" i="195"/>
  <c r="R194" i="195" s="1"/>
  <c r="G195" i="195"/>
  <c r="J195" i="195" s="1"/>
  <c r="L195" i="195"/>
  <c r="N195" i="195" s="1"/>
  <c r="G196" i="195"/>
  <c r="J196" i="195" s="1"/>
  <c r="L196" i="195"/>
  <c r="X196" i="195" s="1"/>
  <c r="C197" i="195"/>
  <c r="D197" i="195"/>
  <c r="G200" i="195"/>
  <c r="J200" i="195" s="1"/>
  <c r="L200" i="195"/>
  <c r="R200" i="195" s="1"/>
  <c r="G201" i="195"/>
  <c r="J201" i="195" s="1"/>
  <c r="L201" i="195"/>
  <c r="R201" i="195" s="1"/>
  <c r="G202" i="195"/>
  <c r="J202" i="195" s="1"/>
  <c r="L202" i="195"/>
  <c r="T202" i="195" s="1"/>
  <c r="C203" i="195"/>
  <c r="D203" i="195"/>
  <c r="G207" i="195"/>
  <c r="J207" i="195" s="1"/>
  <c r="L207" i="195"/>
  <c r="R207" i="195" s="1"/>
  <c r="G210" i="195"/>
  <c r="J210" i="195" s="1"/>
  <c r="L210" i="195"/>
  <c r="X210" i="195" s="1"/>
  <c r="G213" i="195"/>
  <c r="J213" i="195" s="1"/>
  <c r="L213" i="195"/>
  <c r="N213" i="195" s="1"/>
  <c r="G216" i="195"/>
  <c r="J216" i="195" s="1"/>
  <c r="L216" i="195"/>
  <c r="P216" i="195" s="1"/>
  <c r="G219" i="195"/>
  <c r="J219" i="195" s="1"/>
  <c r="L219" i="195"/>
  <c r="V219" i="195" s="1"/>
  <c r="G222" i="195"/>
  <c r="J222" i="195" s="1"/>
  <c r="L222" i="195"/>
  <c r="X222" i="195" s="1"/>
  <c r="G225" i="195"/>
  <c r="J225" i="195" s="1"/>
  <c r="L225" i="195"/>
  <c r="N225" i="195" s="1"/>
  <c r="G228" i="195"/>
  <c r="J228" i="195" s="1"/>
  <c r="L228" i="195"/>
  <c r="N228" i="195" s="1"/>
  <c r="G231" i="195"/>
  <c r="J231" i="195" s="1"/>
  <c r="L231" i="195"/>
  <c r="R231" i="195" s="1"/>
  <c r="G234" i="195"/>
  <c r="J234" i="195" s="1"/>
  <c r="L234" i="195"/>
  <c r="C238" i="195"/>
  <c r="I6" i="412"/>
  <c r="Q6" i="412"/>
  <c r="M7" i="412"/>
  <c r="Q7" i="412"/>
  <c r="M8" i="412"/>
  <c r="Q8" i="412"/>
  <c r="M9" i="412"/>
  <c r="Q9" i="412"/>
  <c r="E10" i="412"/>
  <c r="J7" i="412" s="1"/>
  <c r="G10" i="412"/>
  <c r="K10" i="412"/>
  <c r="L10" i="412"/>
  <c r="O10" i="412"/>
  <c r="P10" i="412"/>
  <c r="R10" i="412"/>
  <c r="S10" i="412"/>
  <c r="T10" i="412"/>
  <c r="F4" i="353"/>
  <c r="G4" i="353"/>
  <c r="F5" i="353"/>
  <c r="G5" i="353"/>
  <c r="F6" i="353"/>
  <c r="G6" i="353"/>
  <c r="F7" i="353"/>
  <c r="G7" i="353"/>
  <c r="F8" i="353"/>
  <c r="G8" i="353"/>
  <c r="K9" i="353"/>
  <c r="M9" i="353" s="1"/>
  <c r="F10" i="353"/>
  <c r="G10" i="353"/>
  <c r="F11" i="353"/>
  <c r="G11" i="353"/>
  <c r="K12" i="353"/>
  <c r="M12" i="353" s="1"/>
  <c r="O12" i="353"/>
  <c r="F13" i="353"/>
  <c r="G13" i="353"/>
  <c r="F14" i="353"/>
  <c r="F15" i="353" s="1"/>
  <c r="G14" i="353"/>
  <c r="K15" i="353"/>
  <c r="M15" i="353" s="1"/>
  <c r="O15" i="353"/>
  <c r="F16" i="353"/>
  <c r="G16" i="353"/>
  <c r="F17" i="353"/>
  <c r="G17" i="353"/>
  <c r="K18" i="353"/>
  <c r="M18" i="353" s="1"/>
  <c r="O18" i="353"/>
  <c r="F19" i="353"/>
  <c r="F22" i="353" s="1"/>
  <c r="G19" i="353"/>
  <c r="F20" i="353"/>
  <c r="G20" i="353"/>
  <c r="F21" i="353"/>
  <c r="G21" i="353"/>
  <c r="K22" i="353"/>
  <c r="M22" i="353" s="1"/>
  <c r="O22" i="353"/>
  <c r="F23" i="353"/>
  <c r="G23" i="353"/>
  <c r="F24" i="353"/>
  <c r="G24" i="353"/>
  <c r="K25" i="353"/>
  <c r="M25" i="353" s="1"/>
  <c r="O25" i="353"/>
  <c r="F26" i="353"/>
  <c r="G26" i="353"/>
  <c r="F27" i="353"/>
  <c r="F28" i="353" s="1"/>
  <c r="G27" i="353"/>
  <c r="K28" i="353"/>
  <c r="M28" i="353" s="1"/>
  <c r="E41" i="353"/>
  <c r="F12" i="346" s="1"/>
  <c r="D27" i="194"/>
  <c r="F27" i="194"/>
  <c r="H4" i="353" s="1"/>
  <c r="D28" i="194"/>
  <c r="F28" i="194"/>
  <c r="H5" i="353" s="1"/>
  <c r="D29" i="194"/>
  <c r="F29" i="194"/>
  <c r="D30" i="194"/>
  <c r="F30" i="194"/>
  <c r="H7" i="353" s="1"/>
  <c r="D31" i="194"/>
  <c r="F31" i="194"/>
  <c r="H8" i="353" s="1"/>
  <c r="C36" i="194"/>
  <c r="D44" i="194"/>
  <c r="F44" i="194"/>
  <c r="H10" i="353" s="1"/>
  <c r="D45" i="194"/>
  <c r="F45" i="194"/>
  <c r="C50" i="194"/>
  <c r="D58" i="194"/>
  <c r="F58" i="194"/>
  <c r="H16" i="353" s="1"/>
  <c r="D59" i="194"/>
  <c r="F59" i="194"/>
  <c r="H17" i="353" s="1"/>
  <c r="C64" i="194"/>
  <c r="D74" i="194"/>
  <c r="F74" i="194"/>
  <c r="D75" i="194"/>
  <c r="F75" i="194"/>
  <c r="H20" i="353" s="1"/>
  <c r="D76" i="194"/>
  <c r="F76" i="194"/>
  <c r="H21" i="353" s="1"/>
  <c r="C81" i="194"/>
  <c r="D93" i="194"/>
  <c r="F93" i="194"/>
  <c r="H23" i="353" s="1"/>
  <c r="D94" i="194"/>
  <c r="F94" i="194"/>
  <c r="H24" i="353" s="1"/>
  <c r="C99" i="194"/>
  <c r="D108" i="194"/>
  <c r="F108" i="194"/>
  <c r="H13" i="353" s="1"/>
  <c r="D109" i="194"/>
  <c r="F109" i="194"/>
  <c r="C114" i="194"/>
  <c r="D123" i="194"/>
  <c r="F123" i="194"/>
  <c r="D124" i="194"/>
  <c r="F124" i="194"/>
  <c r="H27" i="353" s="1"/>
  <c r="C129" i="194"/>
  <c r="C7" i="251"/>
  <c r="J7" i="251" s="1"/>
  <c r="H11" i="353"/>
  <c r="N222" i="195"/>
  <c r="V222" i="195"/>
  <c r="R219" i="195"/>
  <c r="Z219" i="195"/>
  <c r="R202" i="195"/>
  <c r="Z200" i="195"/>
  <c r="X200" i="195"/>
  <c r="N196" i="195"/>
  <c r="P190" i="195"/>
  <c r="R225" i="195"/>
  <c r="Z225" i="195"/>
  <c r="T222" i="195"/>
  <c r="T219" i="195"/>
  <c r="Z196" i="195"/>
  <c r="X194" i="195"/>
  <c r="V194" i="195"/>
  <c r="P193" i="195"/>
  <c r="X193" i="195"/>
  <c r="N193" i="195"/>
  <c r="V193" i="195"/>
  <c r="R186" i="195"/>
  <c r="Z186" i="195"/>
  <c r="P186" i="195"/>
  <c r="X186" i="195"/>
  <c r="J8" i="412"/>
  <c r="I8" i="412" s="1"/>
  <c r="R234" i="195"/>
  <c r="R228" i="195"/>
  <c r="T225" i="195"/>
  <c r="R222" i="195"/>
  <c r="P219" i="195"/>
  <c r="N210" i="195"/>
  <c r="V210" i="195"/>
  <c r="T200" i="195"/>
  <c r="Z194" i="195"/>
  <c r="Z193" i="195"/>
  <c r="V186" i="195"/>
  <c r="P225" i="195"/>
  <c r="Z222" i="195"/>
  <c r="P222" i="195"/>
  <c r="X219" i="195"/>
  <c r="N219" i="195"/>
  <c r="N216" i="195"/>
  <c r="V216" i="195"/>
  <c r="R213" i="195"/>
  <c r="Z213" i="195"/>
  <c r="T210" i="195"/>
  <c r="N200" i="195"/>
  <c r="T194" i="195"/>
  <c r="T193" i="195"/>
  <c r="T186" i="195"/>
  <c r="Z195" i="195"/>
  <c r="X183" i="195"/>
  <c r="X180" i="195"/>
  <c r="P180" i="195"/>
  <c r="X179" i="195"/>
  <c r="P179" i="195"/>
  <c r="V173" i="195"/>
  <c r="N173" i="195"/>
  <c r="N172" i="195"/>
  <c r="R169" i="195"/>
  <c r="X166" i="195"/>
  <c r="P161" i="195"/>
  <c r="X161" i="195"/>
  <c r="P159" i="195"/>
  <c r="X159" i="195"/>
  <c r="P155" i="195"/>
  <c r="X155" i="195"/>
  <c r="Z144" i="195"/>
  <c r="V121" i="195"/>
  <c r="X121" i="195"/>
  <c r="Z121" i="195"/>
  <c r="R166" i="195"/>
  <c r="Z166" i="195"/>
  <c r="N144" i="195"/>
  <c r="Z173" i="195"/>
  <c r="R173" i="195"/>
  <c r="V171" i="195"/>
  <c r="R170" i="195"/>
  <c r="Z170" i="195"/>
  <c r="T166" i="195"/>
  <c r="P156" i="195"/>
  <c r="T151" i="195"/>
  <c r="V146" i="195"/>
  <c r="Z145" i="195"/>
  <c r="N120" i="195"/>
  <c r="V120" i="195"/>
  <c r="P120" i="195"/>
  <c r="X120" i="195"/>
  <c r="R120" i="195"/>
  <c r="Z120" i="195"/>
  <c r="Z183" i="195"/>
  <c r="Z180" i="195"/>
  <c r="Z179" i="195"/>
  <c r="X173" i="195"/>
  <c r="T171" i="195"/>
  <c r="T170" i="195"/>
  <c r="N168" i="195"/>
  <c r="P166" i="195"/>
  <c r="V148" i="195"/>
  <c r="T146" i="195"/>
  <c r="R144" i="195"/>
  <c r="N73" i="195"/>
  <c r="V73" i="195"/>
  <c r="R72" i="195"/>
  <c r="Z72" i="195"/>
  <c r="N77" i="253"/>
  <c r="V77" i="253"/>
  <c r="R77" i="253"/>
  <c r="Z77" i="253"/>
  <c r="P77" i="253"/>
  <c r="T77" i="253"/>
  <c r="X77" i="253"/>
  <c r="X137" i="195"/>
  <c r="X132" i="195"/>
  <c r="X129" i="195"/>
  <c r="X128" i="195"/>
  <c r="X125" i="195"/>
  <c r="V119" i="195"/>
  <c r="N119" i="195"/>
  <c r="V118" i="195"/>
  <c r="V117" i="195"/>
  <c r="N117" i="195"/>
  <c r="X112" i="195"/>
  <c r="V105" i="195"/>
  <c r="N105" i="195"/>
  <c r="Z104" i="195"/>
  <c r="R104" i="195"/>
  <c r="Z103" i="195"/>
  <c r="Z102" i="195"/>
  <c r="R102" i="195"/>
  <c r="R101" i="195"/>
  <c r="N100" i="195"/>
  <c r="R99" i="195"/>
  <c r="Z98" i="195"/>
  <c r="R98" i="195"/>
  <c r="Z96" i="195"/>
  <c r="R96" i="195"/>
  <c r="R95" i="195"/>
  <c r="Z94" i="195"/>
  <c r="R94" i="195"/>
  <c r="V93" i="195"/>
  <c r="N93" i="195"/>
  <c r="X86" i="195"/>
  <c r="V82" i="195"/>
  <c r="N82" i="195"/>
  <c r="Z81" i="195"/>
  <c r="R81" i="195"/>
  <c r="V80" i="195"/>
  <c r="N80" i="195"/>
  <c r="Z79" i="195"/>
  <c r="R79" i="195"/>
  <c r="V78" i="195"/>
  <c r="N78" i="195"/>
  <c r="Z77" i="195"/>
  <c r="V76" i="195"/>
  <c r="N76" i="195"/>
  <c r="Z75" i="195"/>
  <c r="R75" i="195"/>
  <c r="Z74" i="195"/>
  <c r="R74" i="195"/>
  <c r="T73" i="195"/>
  <c r="T72" i="195"/>
  <c r="P63" i="195"/>
  <c r="X63" i="195"/>
  <c r="P59" i="195"/>
  <c r="X59" i="195"/>
  <c r="X104" i="195"/>
  <c r="P104" i="195"/>
  <c r="X103" i="195"/>
  <c r="P103" i="195"/>
  <c r="X102" i="195"/>
  <c r="P102" i="195"/>
  <c r="P101" i="195"/>
  <c r="X99" i="195"/>
  <c r="P99" i="195"/>
  <c r="X98" i="195"/>
  <c r="P98" i="195"/>
  <c r="X96" i="195"/>
  <c r="P96" i="195"/>
  <c r="X95" i="195"/>
  <c r="P95" i="195"/>
  <c r="X94" i="195"/>
  <c r="P94" i="195"/>
  <c r="X81" i="195"/>
  <c r="P81" i="195"/>
  <c r="X79" i="195"/>
  <c r="P79" i="195"/>
  <c r="X75" i="195"/>
  <c r="P75" i="195"/>
  <c r="X74" i="195"/>
  <c r="P74" i="195"/>
  <c r="R73" i="195"/>
  <c r="P72" i="195"/>
  <c r="Z119" i="195"/>
  <c r="Z117" i="195"/>
  <c r="Z105" i="195"/>
  <c r="V104" i="195"/>
  <c r="V103" i="195"/>
  <c r="V102" i="195"/>
  <c r="Z100" i="195"/>
  <c r="V99" i="195"/>
  <c r="V98" i="195"/>
  <c r="V96" i="195"/>
  <c r="V95" i="195"/>
  <c r="V94" i="195"/>
  <c r="Z93" i="195"/>
  <c r="Z82" i="195"/>
  <c r="V81" i="195"/>
  <c r="Z80" i="195"/>
  <c r="V79" i="195"/>
  <c r="Z78" i="195"/>
  <c r="V77" i="195"/>
  <c r="Z76" i="195"/>
  <c r="V75" i="195"/>
  <c r="V74" i="195"/>
  <c r="Z73" i="195"/>
  <c r="P73" i="195"/>
  <c r="X72" i="195"/>
  <c r="N72" i="195"/>
  <c r="N71" i="195"/>
  <c r="V71" i="195"/>
  <c r="R70" i="195"/>
  <c r="Z70" i="195"/>
  <c r="P62" i="195"/>
  <c r="X62" i="195"/>
  <c r="R59" i="195"/>
  <c r="N78" i="253"/>
  <c r="V78" i="253"/>
  <c r="R78" i="253"/>
  <c r="Z78" i="253"/>
  <c r="P78" i="253"/>
  <c r="T78" i="253"/>
  <c r="X78" i="253"/>
  <c r="N70" i="253"/>
  <c r="Z70" i="253"/>
  <c r="T70" i="253"/>
  <c r="R76" i="253"/>
  <c r="N76" i="253"/>
  <c r="R75" i="253"/>
  <c r="Z75" i="253"/>
  <c r="N75" i="253"/>
  <c r="V75" i="253"/>
  <c r="T72" i="253"/>
  <c r="T71" i="253"/>
  <c r="X75" i="253"/>
  <c r="N74" i="253"/>
  <c r="V74" i="253"/>
  <c r="R74" i="253"/>
  <c r="Z74" i="253"/>
  <c r="N73" i="253"/>
  <c r="V73" i="253"/>
  <c r="R73" i="253"/>
  <c r="Z73" i="253"/>
  <c r="R72" i="253"/>
  <c r="Z72" i="253"/>
  <c r="N72" i="253"/>
  <c r="V72" i="253"/>
  <c r="R71" i="253"/>
  <c r="Z71" i="253"/>
  <c r="N71" i="253"/>
  <c r="V71" i="253"/>
  <c r="X65" i="253"/>
  <c r="X64" i="253"/>
  <c r="X63" i="253"/>
  <c r="X60" i="253"/>
  <c r="X59" i="253"/>
  <c r="X59" i="274"/>
  <c r="H8" i="251"/>
  <c r="H9" i="251" s="1"/>
  <c r="D8" i="251"/>
  <c r="D9" i="251" s="1"/>
  <c r="I8" i="251"/>
  <c r="I9" i="251" s="1"/>
  <c r="I6" i="251" s="1"/>
  <c r="I14" i="251" s="1"/>
  <c r="K30" i="353"/>
  <c r="F8" i="251"/>
  <c r="F9" i="251" s="1"/>
  <c r="F6" i="251" s="1"/>
  <c r="F14" i="251" s="1"/>
  <c r="C8" i="274"/>
  <c r="N180" i="195" l="1"/>
  <c r="V179" i="195"/>
  <c r="T111" i="195"/>
  <c r="Z63" i="253"/>
  <c r="N63" i="253"/>
  <c r="R62" i="253"/>
  <c r="V61" i="253"/>
  <c r="C8" i="251"/>
  <c r="X169" i="195"/>
  <c r="V129" i="195"/>
  <c r="H8" i="412"/>
  <c r="Z118" i="195"/>
  <c r="Z95" i="195"/>
  <c r="Z99" i="195"/>
  <c r="V100" i="195"/>
  <c r="R103" i="195"/>
  <c r="X109" i="195"/>
  <c r="N118" i="195"/>
  <c r="N122" i="195" s="1"/>
  <c r="X135" i="195"/>
  <c r="X140" i="195"/>
  <c r="T121" i="195"/>
  <c r="T145" i="195"/>
  <c r="Z147" i="195"/>
  <c r="T156" i="195"/>
  <c r="V168" i="195"/>
  <c r="T144" i="195"/>
  <c r="R145" i="195"/>
  <c r="N146" i="195"/>
  <c r="R121" i="195"/>
  <c r="P121" i="195"/>
  <c r="N150" i="195"/>
  <c r="Z169" i="195"/>
  <c r="V172" i="195"/>
  <c r="P183" i="195"/>
  <c r="Z191" i="195"/>
  <c r="Z207" i="195"/>
  <c r="R196" i="195"/>
  <c r="N202" i="195"/>
  <c r="T196" i="195"/>
  <c r="N194" i="195"/>
  <c r="P194" i="195"/>
  <c r="V200" i="195"/>
  <c r="V196" i="195"/>
  <c r="P196" i="195"/>
  <c r="P200" i="195"/>
  <c r="T207" i="195"/>
  <c r="X172" i="195"/>
  <c r="T169" i="195"/>
  <c r="T158" i="195"/>
  <c r="T157" i="195"/>
  <c r="T136" i="195"/>
  <c r="X111" i="195"/>
  <c r="P111" i="195"/>
  <c r="T110" i="195"/>
  <c r="X76" i="195"/>
  <c r="X71" i="195"/>
  <c r="X216" i="195"/>
  <c r="V195" i="195"/>
  <c r="T185" i="195"/>
  <c r="T184" i="195"/>
  <c r="T173" i="195"/>
  <c r="R172" i="195"/>
  <c r="V169" i="195"/>
  <c r="N169" i="195"/>
  <c r="X158" i="195"/>
  <c r="X157" i="195"/>
  <c r="Z155" i="195"/>
  <c r="V140" i="195"/>
  <c r="X136" i="195"/>
  <c r="P136" i="195"/>
  <c r="T119" i="195"/>
  <c r="T86" i="195"/>
  <c r="T82" i="195"/>
  <c r="V63" i="195"/>
  <c r="X74" i="253"/>
  <c r="V65" i="253"/>
  <c r="V63" i="253"/>
  <c r="R63" i="253"/>
  <c r="Z62" i="253"/>
  <c r="T62" i="253"/>
  <c r="N62" i="253"/>
  <c r="Z61" i="253"/>
  <c r="R61" i="253"/>
  <c r="V59" i="253"/>
  <c r="V59" i="274"/>
  <c r="T231" i="195"/>
  <c r="Z210" i="195"/>
  <c r="T201" i="195"/>
  <c r="T203" i="195" s="1"/>
  <c r="P195" i="195"/>
  <c r="T192" i="195"/>
  <c r="V191" i="195"/>
  <c r="X185" i="195"/>
  <c r="P185" i="195"/>
  <c r="X184" i="195"/>
  <c r="P184" i="195"/>
  <c r="X178" i="195"/>
  <c r="T162" i="195"/>
  <c r="T161" i="195"/>
  <c r="T155" i="195"/>
  <c r="X145" i="195"/>
  <c r="R140" i="195"/>
  <c r="V137" i="195"/>
  <c r="X130" i="195"/>
  <c r="V125" i="195"/>
  <c r="V112" i="195"/>
  <c r="T109" i="195"/>
  <c r="X78" i="195"/>
  <c r="V70" i="195"/>
  <c r="V122" i="195"/>
  <c r="F46" i="194"/>
  <c r="N6" i="412"/>
  <c r="T228" i="195"/>
  <c r="V213" i="195"/>
  <c r="X207" i="195"/>
  <c r="N207" i="195"/>
  <c r="P191" i="195"/>
  <c r="P197" i="195" s="1"/>
  <c r="Z185" i="195"/>
  <c r="V185" i="195"/>
  <c r="R185" i="195"/>
  <c r="Z184" i="195"/>
  <c r="V184" i="195"/>
  <c r="R184" i="195"/>
  <c r="V183" i="195"/>
  <c r="N179" i="195"/>
  <c r="X162" i="195"/>
  <c r="P162" i="195"/>
  <c r="V161" i="195"/>
  <c r="R161" i="195"/>
  <c r="V155" i="195"/>
  <c r="N155" i="195"/>
  <c r="T139" i="195"/>
  <c r="T138" i="195"/>
  <c r="R137" i="195"/>
  <c r="T135" i="195"/>
  <c r="P130" i="195"/>
  <c r="R129" i="195"/>
  <c r="X127" i="195"/>
  <c r="X126" i="195"/>
  <c r="X119" i="195"/>
  <c r="R119" i="195"/>
  <c r="X118" i="195"/>
  <c r="X117" i="195"/>
  <c r="R112" i="195"/>
  <c r="Z109" i="195"/>
  <c r="N109" i="195"/>
  <c r="T102" i="195"/>
  <c r="T100" i="195"/>
  <c r="T93" i="195"/>
  <c r="Z86" i="195"/>
  <c r="X82" i="195"/>
  <c r="R82" i="195"/>
  <c r="T81" i="195"/>
  <c r="P78" i="195"/>
  <c r="P76" i="195"/>
  <c r="T74" i="195"/>
  <c r="P71" i="195"/>
  <c r="N70" i="195"/>
  <c r="R63" i="195"/>
  <c r="Z62" i="195"/>
  <c r="V59" i="195"/>
  <c r="T75" i="253"/>
  <c r="P74" i="253"/>
  <c r="X73" i="253"/>
  <c r="R59" i="253"/>
  <c r="T62" i="274"/>
  <c r="R59" i="274"/>
  <c r="P170" i="195"/>
  <c r="N170" i="195"/>
  <c r="F95" i="194"/>
  <c r="F18" i="353"/>
  <c r="X231" i="195"/>
  <c r="P231" i="195"/>
  <c r="V225" i="195"/>
  <c r="R216" i="195"/>
  <c r="P213" i="195"/>
  <c r="R210" i="195"/>
  <c r="V207" i="195"/>
  <c r="P207" i="195"/>
  <c r="X201" i="195"/>
  <c r="P201" i="195"/>
  <c r="X195" i="195"/>
  <c r="T195" i="195"/>
  <c r="R195" i="195"/>
  <c r="X192" i="195"/>
  <c r="N192" i="195"/>
  <c r="T180" i="195"/>
  <c r="N178" i="195"/>
  <c r="P178" i="195"/>
  <c r="X170" i="195"/>
  <c r="P168" i="195"/>
  <c r="R168" i="195"/>
  <c r="N158" i="195"/>
  <c r="R158" i="195"/>
  <c r="V158" i="195"/>
  <c r="Z158" i="195"/>
  <c r="N157" i="195"/>
  <c r="R157" i="195"/>
  <c r="V157" i="195"/>
  <c r="Z157" i="195"/>
  <c r="N156" i="195"/>
  <c r="Z156" i="195"/>
  <c r="N145" i="195"/>
  <c r="T140" i="195"/>
  <c r="P140" i="195"/>
  <c r="X139" i="195"/>
  <c r="P139" i="195"/>
  <c r="X138" i="195"/>
  <c r="P138" i="195"/>
  <c r="T137" i="195"/>
  <c r="P137" i="195"/>
  <c r="Z136" i="195"/>
  <c r="V136" i="195"/>
  <c r="R136" i="195"/>
  <c r="Z135" i="195"/>
  <c r="N135" i="195"/>
  <c r="X131" i="195"/>
  <c r="P126" i="195"/>
  <c r="R125" i="195"/>
  <c r="P117" i="195"/>
  <c r="T112" i="195"/>
  <c r="P112" i="195"/>
  <c r="Z111" i="195"/>
  <c r="V111" i="195"/>
  <c r="R111" i="195"/>
  <c r="Z110" i="195"/>
  <c r="P110" i="195"/>
  <c r="V109" i="195"/>
  <c r="R109" i="195"/>
  <c r="X105" i="195"/>
  <c r="X100" i="195"/>
  <c r="R100" i="195"/>
  <c r="T99" i="195"/>
  <c r="N98" i="195"/>
  <c r="N96" i="195"/>
  <c r="T95" i="195"/>
  <c r="N94" i="195"/>
  <c r="X93" i="195"/>
  <c r="R93" i="195"/>
  <c r="T89" i="195"/>
  <c r="T88" i="195"/>
  <c r="X87" i="195"/>
  <c r="T80" i="195"/>
  <c r="T78" i="195"/>
  <c r="Z59" i="195"/>
  <c r="N59" i="195"/>
  <c r="T82" i="253"/>
  <c r="D85" i="253"/>
  <c r="X66" i="253"/>
  <c r="R65" i="253"/>
  <c r="T64" i="253"/>
  <c r="T60" i="253"/>
  <c r="G8" i="251"/>
  <c r="G9" i="251" s="1"/>
  <c r="G6" i="251" s="1"/>
  <c r="G14" i="251" s="1"/>
  <c r="E8" i="251"/>
  <c r="E9" i="251" s="1"/>
  <c r="E6" i="251" s="1"/>
  <c r="Z59" i="274"/>
  <c r="T59" i="274"/>
  <c r="P59" i="274"/>
  <c r="F12" i="353"/>
  <c r="J9" i="412"/>
  <c r="I9" i="412" s="1"/>
  <c r="H9" i="412" s="1"/>
  <c r="Q10" i="412"/>
  <c r="V228" i="195"/>
  <c r="P228" i="195"/>
  <c r="X225" i="195"/>
  <c r="Z216" i="195"/>
  <c r="T216" i="195"/>
  <c r="X213" i="195"/>
  <c r="T213" i="195"/>
  <c r="T191" i="195"/>
  <c r="R191" i="195"/>
  <c r="N183" i="195"/>
  <c r="T179" i="195"/>
  <c r="Z178" i="195"/>
  <c r="V178" i="195"/>
  <c r="R178" i="195"/>
  <c r="Z172" i="195"/>
  <c r="T172" i="195"/>
  <c r="V170" i="195"/>
  <c r="X168" i="195"/>
  <c r="T168" i="195"/>
  <c r="N166" i="195"/>
  <c r="Z162" i="195"/>
  <c r="V162" i="195"/>
  <c r="R162" i="195"/>
  <c r="F25" i="353"/>
  <c r="F9" i="353"/>
  <c r="T159" i="195"/>
  <c r="R159" i="195"/>
  <c r="R156" i="195"/>
  <c r="V156" i="195"/>
  <c r="P146" i="195"/>
  <c r="R146" i="195"/>
  <c r="Z146" i="195"/>
  <c r="X144" i="195"/>
  <c r="P144" i="195"/>
  <c r="T132" i="195"/>
  <c r="P131" i="195"/>
  <c r="Z129" i="195"/>
  <c r="T129" i="195"/>
  <c r="P129" i="195"/>
  <c r="T128" i="195"/>
  <c r="P127" i="195"/>
  <c r="Z125" i="195"/>
  <c r="T125" i="195"/>
  <c r="P125" i="195"/>
  <c r="T117" i="195"/>
  <c r="X110" i="195"/>
  <c r="R110" i="195"/>
  <c r="N110" i="195"/>
  <c r="N104" i="195"/>
  <c r="T103" i="195"/>
  <c r="V87" i="195"/>
  <c r="X80" i="195"/>
  <c r="R80" i="195"/>
  <c r="T76" i="195"/>
  <c r="Z71" i="195"/>
  <c r="Z83" i="195" s="1"/>
  <c r="T71" i="195"/>
  <c r="X70" i="195"/>
  <c r="T70" i="195"/>
  <c r="Z63" i="195"/>
  <c r="T63" i="195"/>
  <c r="P73" i="253"/>
  <c r="X72" i="253"/>
  <c r="P71" i="253"/>
  <c r="C85" i="253"/>
  <c r="P66" i="253"/>
  <c r="T65" i="253"/>
  <c r="P65" i="253"/>
  <c r="Z64" i="253"/>
  <c r="X61" i="253"/>
  <c r="T61" i="253"/>
  <c r="N61" i="253"/>
  <c r="Z60" i="253"/>
  <c r="Z59" i="253"/>
  <c r="T59" i="253"/>
  <c r="T67" i="253" s="1"/>
  <c r="P59" i="253"/>
  <c r="X62" i="274"/>
  <c r="P62" i="274"/>
  <c r="X122" i="195"/>
  <c r="E14" i="251"/>
  <c r="N174" i="195"/>
  <c r="M30" i="353"/>
  <c r="J10" i="412"/>
  <c r="I7" i="412"/>
  <c r="H7" i="412" s="1"/>
  <c r="R160" i="195"/>
  <c r="P160" i="195"/>
  <c r="N160" i="195"/>
  <c r="V160" i="195"/>
  <c r="T160" i="195"/>
  <c r="Z160" i="195"/>
  <c r="X160" i="195"/>
  <c r="V83" i="195"/>
  <c r="N66" i="195"/>
  <c r="V66" i="195"/>
  <c r="R66" i="195"/>
  <c r="Z66" i="195"/>
  <c r="P66" i="195"/>
  <c r="T66" i="195"/>
  <c r="X66" i="195"/>
  <c r="X190" i="195"/>
  <c r="Z190" i="195"/>
  <c r="T190" i="195"/>
  <c r="T197" i="195" s="1"/>
  <c r="R190" i="195"/>
  <c r="N190" i="195"/>
  <c r="N197" i="195" s="1"/>
  <c r="V190" i="195"/>
  <c r="T148" i="195"/>
  <c r="Z148" i="195"/>
  <c r="N148" i="195"/>
  <c r="P148" i="195"/>
  <c r="R148" i="195"/>
  <c r="X148" i="195"/>
  <c r="E39" i="353"/>
  <c r="F11" i="346"/>
  <c r="H14" i="353"/>
  <c r="F110" i="194"/>
  <c r="F77" i="194"/>
  <c r="H19" i="353"/>
  <c r="H6" i="353"/>
  <c r="F32" i="194"/>
  <c r="T187" i="195"/>
  <c r="D237" i="195"/>
  <c r="N149" i="195"/>
  <c r="X149" i="195"/>
  <c r="P149" i="195"/>
  <c r="R149" i="195"/>
  <c r="T149" i="195"/>
  <c r="Z149" i="195"/>
  <c r="N113" i="195"/>
  <c r="V113" i="195"/>
  <c r="R113" i="195"/>
  <c r="Z113" i="195"/>
  <c r="P113" i="195"/>
  <c r="T113" i="195"/>
  <c r="X113" i="195"/>
  <c r="N77" i="195"/>
  <c r="N83" i="195" s="1"/>
  <c r="T77" i="195"/>
  <c r="R77" i="195"/>
  <c r="R83" i="195" s="1"/>
  <c r="X77" i="195"/>
  <c r="P77" i="195"/>
  <c r="P83" i="195" s="1"/>
  <c r="N65" i="195"/>
  <c r="V65" i="195"/>
  <c r="R65" i="195"/>
  <c r="Z65" i="195"/>
  <c r="P65" i="195"/>
  <c r="T65" i="195"/>
  <c r="X65" i="195"/>
  <c r="N67" i="253"/>
  <c r="R203" i="195"/>
  <c r="P234" i="195"/>
  <c r="N234" i="195"/>
  <c r="T234" i="195"/>
  <c r="Z234" i="195"/>
  <c r="V234" i="195"/>
  <c r="X234" i="195"/>
  <c r="N181" i="195"/>
  <c r="V181" i="195"/>
  <c r="P181" i="195"/>
  <c r="X181" i="195"/>
  <c r="R181" i="195"/>
  <c r="Z181" i="195"/>
  <c r="P174" i="195"/>
  <c r="T174" i="195"/>
  <c r="V174" i="195"/>
  <c r="Z174" i="195"/>
  <c r="R174" i="195"/>
  <c r="P167" i="195"/>
  <c r="V167" i="195"/>
  <c r="V175" i="195" s="1"/>
  <c r="X167" i="195"/>
  <c r="Z167" i="195"/>
  <c r="N167" i="195"/>
  <c r="T167" i="195"/>
  <c r="R167" i="195"/>
  <c r="N133" i="195"/>
  <c r="V133" i="195"/>
  <c r="P133" i="195"/>
  <c r="X133" i="195"/>
  <c r="R133" i="195"/>
  <c r="Z133" i="195"/>
  <c r="T97" i="195"/>
  <c r="R97" i="195"/>
  <c r="P97" i="195"/>
  <c r="P106" i="195" s="1"/>
  <c r="V97" i="195"/>
  <c r="X97" i="195"/>
  <c r="Z97" i="195"/>
  <c r="Z122" i="195"/>
  <c r="P163" i="195"/>
  <c r="I25" i="353"/>
  <c r="G25" i="353" s="1"/>
  <c r="D97" i="194"/>
  <c r="F97" i="194" s="1"/>
  <c r="E99" i="194" s="1"/>
  <c r="G99" i="194" s="1"/>
  <c r="H26" i="353"/>
  <c r="F125" i="194"/>
  <c r="N10" i="412"/>
  <c r="M6" i="412"/>
  <c r="Z202" i="195"/>
  <c r="V202" i="195"/>
  <c r="P202" i="195"/>
  <c r="X202" i="195"/>
  <c r="X203" i="195" s="1"/>
  <c r="R171" i="195"/>
  <c r="P171" i="195"/>
  <c r="X171" i="195"/>
  <c r="N171" i="195"/>
  <c r="P150" i="195"/>
  <c r="Z150" i="195"/>
  <c r="V150" i="195"/>
  <c r="R150" i="195"/>
  <c r="T150" i="195"/>
  <c r="N64" i="195"/>
  <c r="V64" i="195"/>
  <c r="R64" i="195"/>
  <c r="Z64" i="195"/>
  <c r="P64" i="195"/>
  <c r="T64" i="195"/>
  <c r="X64" i="195"/>
  <c r="R61" i="195"/>
  <c r="Z61" i="195"/>
  <c r="N61" i="195"/>
  <c r="V61" i="195"/>
  <c r="P61" i="195"/>
  <c r="T61" i="195"/>
  <c r="X61" i="195"/>
  <c r="N79" i="253"/>
  <c r="N25" i="353"/>
  <c r="L25" i="353" s="1"/>
  <c r="J25" i="353" s="1"/>
  <c r="N182" i="195"/>
  <c r="V182" i="195"/>
  <c r="P182" i="195"/>
  <c r="X182" i="195"/>
  <c r="R182" i="195"/>
  <c r="Z182" i="195"/>
  <c r="Z187" i="195" s="1"/>
  <c r="N151" i="195"/>
  <c r="R151" i="195"/>
  <c r="V151" i="195"/>
  <c r="X151" i="195"/>
  <c r="P151" i="195"/>
  <c r="T147" i="195"/>
  <c r="X147" i="195"/>
  <c r="N147" i="195"/>
  <c r="P147" i="195"/>
  <c r="R147" i="195"/>
  <c r="R152" i="195" s="1"/>
  <c r="N134" i="195"/>
  <c r="V134" i="195"/>
  <c r="P134" i="195"/>
  <c r="X134" i="195"/>
  <c r="R134" i="195"/>
  <c r="Z134" i="195"/>
  <c r="V114" i="195"/>
  <c r="N101" i="195"/>
  <c r="T101" i="195"/>
  <c r="Z101" i="195"/>
  <c r="X101" i="195"/>
  <c r="V101" i="195"/>
  <c r="C237" i="195"/>
  <c r="R60" i="195"/>
  <c r="Z60" i="195"/>
  <c r="N60" i="195"/>
  <c r="V60" i="195"/>
  <c r="P60" i="195"/>
  <c r="T60" i="195"/>
  <c r="X60" i="195"/>
  <c r="E38" i="353"/>
  <c r="H38" i="353"/>
  <c r="O11" i="346" s="1"/>
  <c r="P76" i="253"/>
  <c r="T76" i="253"/>
  <c r="T79" i="253" s="1"/>
  <c r="V76" i="253"/>
  <c r="X76" i="253"/>
  <c r="Z76" i="253"/>
  <c r="Z79" i="253" s="1"/>
  <c r="R70" i="253"/>
  <c r="R79" i="253" s="1"/>
  <c r="X70" i="253"/>
  <c r="V70" i="253"/>
  <c r="P70" i="253"/>
  <c r="P79" i="253" s="1"/>
  <c r="F60" i="194"/>
  <c r="V231" i="195"/>
  <c r="N231" i="195"/>
  <c r="P210" i="195"/>
  <c r="V201" i="195"/>
  <c r="N201" i="195"/>
  <c r="N203" i="195" s="1"/>
  <c r="V192" i="195"/>
  <c r="R192" i="195"/>
  <c r="R183" i="195"/>
  <c r="Z159" i="195"/>
  <c r="Z163" i="195" s="1"/>
  <c r="N159" i="195"/>
  <c r="P145" i="195"/>
  <c r="Z140" i="195"/>
  <c r="V139" i="195"/>
  <c r="N139" i="195"/>
  <c r="V138" i="195"/>
  <c r="N138" i="195"/>
  <c r="Z137" i="195"/>
  <c r="V135" i="195"/>
  <c r="P135" i="195"/>
  <c r="P86" i="195"/>
  <c r="N86" i="195"/>
  <c r="V86" i="195"/>
  <c r="T79" i="195"/>
  <c r="T75" i="195"/>
  <c r="P64" i="253"/>
  <c r="V64" i="253"/>
  <c r="R64" i="253"/>
  <c r="R60" i="253"/>
  <c r="P60" i="253"/>
  <c r="P67" i="253" s="1"/>
  <c r="V60" i="253"/>
  <c r="P132" i="195"/>
  <c r="V132" i="195"/>
  <c r="R132" i="195"/>
  <c r="R128" i="195"/>
  <c r="P128" i="195"/>
  <c r="V128" i="195"/>
  <c r="T118" i="195"/>
  <c r="T122" i="195" s="1"/>
  <c r="R118" i="195"/>
  <c r="T105" i="195"/>
  <c r="T106" i="195" s="1"/>
  <c r="R105" i="195"/>
  <c r="R89" i="195"/>
  <c r="Z89" i="195"/>
  <c r="N89" i="195"/>
  <c r="V89" i="195"/>
  <c r="R88" i="195"/>
  <c r="Z88" i="195"/>
  <c r="N88" i="195"/>
  <c r="V88" i="195"/>
  <c r="N82" i="253"/>
  <c r="V82" i="253"/>
  <c r="R82" i="253"/>
  <c r="Z82" i="253"/>
  <c r="Z192" i="195"/>
  <c r="X228" i="195"/>
  <c r="Z228" i="195"/>
  <c r="Z231" i="195"/>
  <c r="Z201" i="195"/>
  <c r="Z203" i="195" s="1"/>
  <c r="X191" i="195"/>
  <c r="Z139" i="195"/>
  <c r="Z138" i="195"/>
  <c r="Z132" i="195"/>
  <c r="R131" i="195"/>
  <c r="Z131" i="195"/>
  <c r="N131" i="195"/>
  <c r="V131" i="195"/>
  <c r="R130" i="195"/>
  <c r="Z130" i="195"/>
  <c r="N130" i="195"/>
  <c r="V130" i="195"/>
  <c r="Z128" i="195"/>
  <c r="N127" i="195"/>
  <c r="V127" i="195"/>
  <c r="R127" i="195"/>
  <c r="Z127" i="195"/>
  <c r="N126" i="195"/>
  <c r="V126" i="195"/>
  <c r="R126" i="195"/>
  <c r="Z126" i="195"/>
  <c r="X89" i="195"/>
  <c r="X88" i="195"/>
  <c r="N87" i="195"/>
  <c r="T87" i="195"/>
  <c r="Z87" i="195"/>
  <c r="Z90" i="195" s="1"/>
  <c r="P87" i="195"/>
  <c r="R90" i="195"/>
  <c r="R62" i="195"/>
  <c r="V62" i="195"/>
  <c r="T62" i="195"/>
  <c r="X82" i="253"/>
  <c r="N66" i="253"/>
  <c r="V66" i="253"/>
  <c r="R66" i="253"/>
  <c r="Z66" i="253"/>
  <c r="V62" i="274"/>
  <c r="N62" i="274"/>
  <c r="Z112" i="195"/>
  <c r="Z114" i="195" s="1"/>
  <c r="Z65" i="253"/>
  <c r="X62" i="253"/>
  <c r="X67" i="253" s="1"/>
  <c r="Z62" i="274"/>
  <c r="I11" i="253"/>
  <c r="E11" i="253" s="1"/>
  <c r="C4" i="274"/>
  <c r="C11" i="274" s="1"/>
  <c r="F11" i="253"/>
  <c r="D11" i="274"/>
  <c r="C9" i="251"/>
  <c r="C4" i="195"/>
  <c r="C11" i="195" s="1"/>
  <c r="I11" i="195"/>
  <c r="E11" i="195" s="1"/>
  <c r="C7" i="274"/>
  <c r="G11" i="274"/>
  <c r="F11" i="274"/>
  <c r="E11" i="274"/>
  <c r="E36" i="353"/>
  <c r="H41" i="353"/>
  <c r="L12" i="346" s="1"/>
  <c r="E33" i="353"/>
  <c r="H6" i="251"/>
  <c r="H14" i="251" s="1"/>
  <c r="D6" i="251"/>
  <c r="D14" i="251" s="1"/>
  <c r="V163" i="195" l="1"/>
  <c r="T114" i="195"/>
  <c r="T163" i="195"/>
  <c r="J8" i="251"/>
  <c r="T141" i="195"/>
  <c r="Z67" i="253"/>
  <c r="T90" i="195"/>
  <c r="R122" i="195"/>
  <c r="V67" i="253"/>
  <c r="R187" i="195"/>
  <c r="V203" i="195"/>
  <c r="N106" i="195"/>
  <c r="P203" i="195"/>
  <c r="X83" i="195"/>
  <c r="X114" i="195"/>
  <c r="P114" i="195"/>
  <c r="R114" i="195"/>
  <c r="N114" i="195"/>
  <c r="X163" i="195"/>
  <c r="R163" i="195"/>
  <c r="P122" i="195"/>
  <c r="D11" i="253"/>
  <c r="R106" i="195"/>
  <c r="N163" i="195"/>
  <c r="T152" i="195"/>
  <c r="X90" i="195"/>
  <c r="T83" i="195"/>
  <c r="X79" i="253"/>
  <c r="N152" i="195"/>
  <c r="I12" i="353"/>
  <c r="D48" i="194"/>
  <c r="F48" i="194" s="1"/>
  <c r="G11" i="253"/>
  <c r="U71" i="253" s="1"/>
  <c r="V152" i="195"/>
  <c r="T175" i="195"/>
  <c r="Z175" i="195"/>
  <c r="R141" i="195"/>
  <c r="N141" i="195"/>
  <c r="X67" i="195"/>
  <c r="P67" i="195"/>
  <c r="X152" i="195"/>
  <c r="N67" i="195"/>
  <c r="V106" i="195"/>
  <c r="X141" i="195"/>
  <c r="X175" i="195"/>
  <c r="V187" i="195"/>
  <c r="Z152" i="195"/>
  <c r="I10" i="412"/>
  <c r="R67" i="195"/>
  <c r="Z106" i="195"/>
  <c r="N175" i="195"/>
  <c r="P175" i="195"/>
  <c r="X187" i="195"/>
  <c r="R197" i="195"/>
  <c r="Z141" i="195"/>
  <c r="V90" i="195"/>
  <c r="V67" i="195"/>
  <c r="X106" i="195"/>
  <c r="P187" i="195"/>
  <c r="U75" i="253"/>
  <c r="Y71" i="253"/>
  <c r="Q63" i="253"/>
  <c r="P141" i="195"/>
  <c r="N90" i="195"/>
  <c r="P152" i="195"/>
  <c r="D62" i="194"/>
  <c r="F62" i="194" s="1"/>
  <c r="E64" i="194" s="1"/>
  <c r="G64" i="194" s="1"/>
  <c r="I18" i="353"/>
  <c r="G18" i="353" s="1"/>
  <c r="N18" i="353" s="1"/>
  <c r="L18" i="353" s="1"/>
  <c r="J18" i="353" s="1"/>
  <c r="D127" i="194"/>
  <c r="F127" i="194" s="1"/>
  <c r="I28" i="353"/>
  <c r="R175" i="195"/>
  <c r="I22" i="353"/>
  <c r="G22" i="353" s="1"/>
  <c r="N22" i="353" s="1"/>
  <c r="L22" i="353" s="1"/>
  <c r="J22" i="353" s="1"/>
  <c r="D79" i="194"/>
  <c r="F79" i="194" s="1"/>
  <c r="E81" i="194" s="1"/>
  <c r="G81" i="194" s="1"/>
  <c r="V197" i="195"/>
  <c r="Z197" i="195"/>
  <c r="G72" i="253"/>
  <c r="J72" i="253" s="1"/>
  <c r="Y72" i="253" s="1"/>
  <c r="S71" i="253"/>
  <c r="V141" i="195"/>
  <c r="R67" i="253"/>
  <c r="P90" i="195"/>
  <c r="V79" i="253"/>
  <c r="T67" i="195"/>
  <c r="Z67" i="195"/>
  <c r="H6" i="412"/>
  <c r="H10" i="412" s="1"/>
  <c r="M10" i="412"/>
  <c r="N187" i="195"/>
  <c r="D34" i="194"/>
  <c r="F34" i="194" s="1"/>
  <c r="I9" i="353"/>
  <c r="I15" i="353"/>
  <c r="D112" i="194"/>
  <c r="F112" i="194" s="1"/>
  <c r="X197" i="195"/>
  <c r="Q66" i="253"/>
  <c r="Q75" i="253"/>
  <c r="S77" i="253"/>
  <c r="G34" i="253"/>
  <c r="O38" i="253" s="1"/>
  <c r="W77" i="253"/>
  <c r="M75" i="253"/>
  <c r="D11" i="195"/>
  <c r="G11" i="195"/>
  <c r="W75" i="253"/>
  <c r="Y73" i="253"/>
  <c r="Q73" i="253"/>
  <c r="Q82" i="253"/>
  <c r="R83" i="253" s="1"/>
  <c r="U77" i="253"/>
  <c r="S63" i="253"/>
  <c r="Y61" i="253"/>
  <c r="O61" i="253"/>
  <c r="O63" i="253"/>
  <c r="G60" i="253"/>
  <c r="J60" i="253" s="1"/>
  <c r="W73" i="253"/>
  <c r="Y63" i="253"/>
  <c r="U61" i="253"/>
  <c r="O75" i="253"/>
  <c r="G59" i="253"/>
  <c r="J59" i="253" s="1"/>
  <c r="G74" i="253"/>
  <c r="J74" i="253" s="1"/>
  <c r="Y82" i="253"/>
  <c r="Z83" i="253" s="1"/>
  <c r="U63" i="253"/>
  <c r="G65" i="253"/>
  <c r="J65" i="253" s="1"/>
  <c r="W65" i="253" s="1"/>
  <c r="U73" i="253"/>
  <c r="W61" i="253"/>
  <c r="F11" i="195"/>
  <c r="Y130" i="195" s="1"/>
  <c r="C6" i="251"/>
  <c r="J9" i="251"/>
  <c r="O65" i="253"/>
  <c r="S65" i="253"/>
  <c r="Q72" i="253"/>
  <c r="S59" i="274"/>
  <c r="T60" i="274" s="1"/>
  <c r="M59" i="274"/>
  <c r="N60" i="274" s="1"/>
  <c r="Y59" i="274"/>
  <c r="Z60" i="274" s="1"/>
  <c r="G34" i="274"/>
  <c r="O38" i="274" s="1"/>
  <c r="U62" i="274"/>
  <c r="V63" i="274" s="1"/>
  <c r="S62" i="274"/>
  <c r="T63" i="274" s="1"/>
  <c r="M62" i="274"/>
  <c r="N63" i="274" s="1"/>
  <c r="O62" i="274"/>
  <c r="P63" i="274" s="1"/>
  <c r="Q62" i="274"/>
  <c r="R63" i="274" s="1"/>
  <c r="U59" i="274"/>
  <c r="V60" i="274" s="1"/>
  <c r="W59" i="274"/>
  <c r="X60" i="274" s="1"/>
  <c r="W62" i="274"/>
  <c r="X63" i="274" s="1"/>
  <c r="O59" i="274"/>
  <c r="P60" i="274" s="1"/>
  <c r="Q59" i="274"/>
  <c r="R60" i="274" s="1"/>
  <c r="Y62" i="274"/>
  <c r="Z63" i="274" s="1"/>
  <c r="W72" i="253" l="1"/>
  <c r="Q65" i="253"/>
  <c r="M65" i="253"/>
  <c r="U65" i="253"/>
  <c r="U66" i="253"/>
  <c r="G64" i="253"/>
  <c r="J64" i="253" s="1"/>
  <c r="U64" i="253" s="1"/>
  <c r="G62" i="253"/>
  <c r="J62" i="253" s="1"/>
  <c r="W66" i="253"/>
  <c r="O71" i="253"/>
  <c r="G76" i="253"/>
  <c r="J76" i="253" s="1"/>
  <c r="M71" i="253"/>
  <c r="G70" i="253"/>
  <c r="J70" i="253" s="1"/>
  <c r="W71" i="253"/>
  <c r="O82" i="253"/>
  <c r="P83" i="253" s="1"/>
  <c r="S73" i="253"/>
  <c r="W63" i="253"/>
  <c r="S61" i="253"/>
  <c r="S75" i="253"/>
  <c r="O73" i="253"/>
  <c r="G78" i="253"/>
  <c r="J78" i="253" s="1"/>
  <c r="M66" i="253"/>
  <c r="Y66" i="253"/>
  <c r="M63" i="253"/>
  <c r="Q77" i="253"/>
  <c r="Y75" i="253"/>
  <c r="O77" i="253"/>
  <c r="S82" i="253"/>
  <c r="T83" i="253" s="1"/>
  <c r="M61" i="253"/>
  <c r="Q71" i="253"/>
  <c r="U82" i="253"/>
  <c r="V83" i="253" s="1"/>
  <c r="Q61" i="253"/>
  <c r="M77" i="253"/>
  <c r="M82" i="253"/>
  <c r="N83" i="253" s="1"/>
  <c r="M73" i="253"/>
  <c r="S66" i="253"/>
  <c r="Y77" i="253"/>
  <c r="Q64" i="253"/>
  <c r="U76" i="253"/>
  <c r="E50" i="194"/>
  <c r="G50" i="194" s="1"/>
  <c r="G12" i="353"/>
  <c r="N12" i="353" s="1"/>
  <c r="L12" i="353" s="1"/>
  <c r="J12" i="353" s="1"/>
  <c r="Y64" i="253"/>
  <c r="M64" i="253"/>
  <c r="O76" i="253"/>
  <c r="Y76" i="253"/>
  <c r="W82" i="253"/>
  <c r="X83" i="253" s="1"/>
  <c r="O66" i="253"/>
  <c r="AA83" i="253"/>
  <c r="E36" i="194"/>
  <c r="G36" i="194" s="1"/>
  <c r="G9" i="353"/>
  <c r="N9" i="353" s="1"/>
  <c r="U72" i="253"/>
  <c r="W64" i="253"/>
  <c r="S64" i="253"/>
  <c r="Q76" i="253"/>
  <c r="M76" i="253"/>
  <c r="Q78" i="253"/>
  <c r="S78" i="253"/>
  <c r="S120" i="195"/>
  <c r="U181" i="195"/>
  <c r="E114" i="194"/>
  <c r="G114" i="194" s="1"/>
  <c r="G15" i="353"/>
  <c r="N15" i="353" s="1"/>
  <c r="L15" i="353" s="1"/>
  <c r="J15" i="353" s="1"/>
  <c r="O72" i="253"/>
  <c r="M72" i="253"/>
  <c r="W74" i="195"/>
  <c r="E129" i="194"/>
  <c r="G129" i="194" s="1"/>
  <c r="G28" i="353"/>
  <c r="N28" i="353" s="1"/>
  <c r="L28" i="353" s="1"/>
  <c r="J28" i="353" s="1"/>
  <c r="Q80" i="195"/>
  <c r="W60" i="195"/>
  <c r="S72" i="253"/>
  <c r="O64" i="253"/>
  <c r="Y65" i="253"/>
  <c r="U78" i="253"/>
  <c r="M149" i="195"/>
  <c r="Q62" i="253"/>
  <c r="M59" i="253"/>
  <c r="M67" i="253" s="1"/>
  <c r="N68" i="253" s="1"/>
  <c r="Y59" i="253"/>
  <c r="Y67" i="253" s="1"/>
  <c r="Z68" i="253" s="1"/>
  <c r="O59" i="253"/>
  <c r="O67" i="253" s="1"/>
  <c r="P68" i="253" s="1"/>
  <c r="W59" i="253"/>
  <c r="W67" i="253" s="1"/>
  <c r="X68" i="253" s="1"/>
  <c r="U59" i="253"/>
  <c r="U67" i="253" s="1"/>
  <c r="V68" i="253" s="1"/>
  <c r="Q59" i="253"/>
  <c r="Q67" i="253" s="1"/>
  <c r="R68" i="253" s="1"/>
  <c r="S59" i="253"/>
  <c r="S67" i="253" s="1"/>
  <c r="T68" i="253" s="1"/>
  <c r="U62" i="253"/>
  <c r="Y219" i="195"/>
  <c r="Z220" i="195" s="1"/>
  <c r="S173" i="195"/>
  <c r="S70" i="253"/>
  <c r="S79" i="253" s="1"/>
  <c r="T80" i="253" s="1"/>
  <c r="M70" i="253"/>
  <c r="M79" i="253" s="1"/>
  <c r="N80" i="253" s="1"/>
  <c r="Y70" i="253"/>
  <c r="Y79" i="253" s="1"/>
  <c r="Z80" i="253" s="1"/>
  <c r="O70" i="253"/>
  <c r="O79" i="253" s="1"/>
  <c r="P80" i="253" s="1"/>
  <c r="U70" i="253"/>
  <c r="U79" i="253" s="1"/>
  <c r="V80" i="253" s="1"/>
  <c r="W70" i="253"/>
  <c r="W79" i="253" s="1"/>
  <c r="X80" i="253" s="1"/>
  <c r="Q70" i="253"/>
  <c r="Q79" i="253" s="1"/>
  <c r="R80" i="253" s="1"/>
  <c r="Y62" i="253"/>
  <c r="Q79" i="195"/>
  <c r="S179" i="195"/>
  <c r="Q74" i="253"/>
  <c r="Y74" i="253"/>
  <c r="S74" i="253"/>
  <c r="W74" i="253"/>
  <c r="M74" i="253"/>
  <c r="U74" i="253"/>
  <c r="O74" i="253"/>
  <c r="S60" i="253"/>
  <c r="O60" i="253"/>
  <c r="W60" i="253"/>
  <c r="M60" i="253"/>
  <c r="Y60" i="253"/>
  <c r="Q60" i="253"/>
  <c r="U60" i="253"/>
  <c r="AA63" i="274"/>
  <c r="J6" i="251"/>
  <c r="C14" i="251"/>
  <c r="J14" i="251" s="1"/>
  <c r="W97" i="195"/>
  <c r="S147" i="195"/>
  <c r="Q126" i="195"/>
  <c r="U159" i="195"/>
  <c r="O147" i="195"/>
  <c r="W76" i="195"/>
  <c r="Y195" i="195"/>
  <c r="W193" i="195"/>
  <c r="M159" i="195"/>
  <c r="S171" i="195"/>
  <c r="G63" i="195"/>
  <c r="J63" i="195" s="1"/>
  <c r="Q62" i="195"/>
  <c r="U169" i="195"/>
  <c r="M87" i="195"/>
  <c r="S70" i="195"/>
  <c r="S83" i="195" s="1"/>
  <c r="T84" i="195" s="1"/>
  <c r="Q71" i="195"/>
  <c r="W113" i="195"/>
  <c r="W186" i="195"/>
  <c r="M128" i="195"/>
  <c r="Y77" i="195"/>
  <c r="W80" i="195"/>
  <c r="S145" i="195"/>
  <c r="G65" i="195"/>
  <c r="J65" i="195" s="1"/>
  <c r="O210" i="195"/>
  <c r="P211" i="195" s="1"/>
  <c r="O150" i="195"/>
  <c r="S78" i="195"/>
  <c r="S201" i="195"/>
  <c r="U186" i="195"/>
  <c r="U193" i="195"/>
  <c r="W173" i="195"/>
  <c r="O73" i="195"/>
  <c r="W201" i="195"/>
  <c r="M231" i="195"/>
  <c r="N232" i="195" s="1"/>
  <c r="Y87" i="195"/>
  <c r="S77" i="195"/>
  <c r="W234" i="195"/>
  <c r="X235" i="195" s="1"/>
  <c r="Q184" i="195"/>
  <c r="G119" i="195"/>
  <c r="J119" i="195" s="1"/>
  <c r="Q151" i="195"/>
  <c r="O179" i="195"/>
  <c r="S183" i="195"/>
  <c r="Y173" i="195"/>
  <c r="G178" i="195"/>
  <c r="J178" i="195" s="1"/>
  <c r="S216" i="195"/>
  <c r="T217" i="195" s="1"/>
  <c r="Y76" i="195"/>
  <c r="U130" i="195"/>
  <c r="U97" i="195"/>
  <c r="Q144" i="195"/>
  <c r="Q152" i="195" s="1"/>
  <c r="R153" i="195" s="1"/>
  <c r="Q148" i="195"/>
  <c r="U138" i="195"/>
  <c r="W179" i="195"/>
  <c r="U71" i="195"/>
  <c r="S105" i="195"/>
  <c r="M113" i="195"/>
  <c r="S167" i="195"/>
  <c r="Y72" i="195"/>
  <c r="O213" i="195"/>
  <c r="P214" i="195" s="1"/>
  <c r="AA60" i="274"/>
  <c r="AA65" i="274" s="1"/>
  <c r="Y138" i="195"/>
  <c r="W130" i="195"/>
  <c r="M136" i="195"/>
  <c r="O94" i="195"/>
  <c r="U207" i="195"/>
  <c r="V208" i="195" s="1"/>
  <c r="S169" i="195"/>
  <c r="U228" i="195"/>
  <c r="V229" i="195" s="1"/>
  <c r="M148" i="195"/>
  <c r="O219" i="195"/>
  <c r="P220" i="195" s="1"/>
  <c r="Q181" i="195"/>
  <c r="W149" i="195"/>
  <c r="Y105" i="195"/>
  <c r="S210" i="195"/>
  <c r="T211" i="195" s="1"/>
  <c r="U210" i="195"/>
  <c r="V211" i="195" s="1"/>
  <c r="W184" i="195"/>
  <c r="Q149" i="195"/>
  <c r="M120" i="195"/>
  <c r="S207" i="195"/>
  <c r="T208" i="195" s="1"/>
  <c r="O81" i="195"/>
  <c r="U70" i="195"/>
  <c r="U83" i="195" s="1"/>
  <c r="V84" i="195" s="1"/>
  <c r="O193" i="195"/>
  <c r="Q73" i="195"/>
  <c r="Q191" i="195"/>
  <c r="W191" i="195"/>
  <c r="W216" i="195"/>
  <c r="X217" i="195" s="1"/>
  <c r="G75" i="195"/>
  <c r="J75" i="195" s="1"/>
  <c r="M150" i="195"/>
  <c r="S97" i="195"/>
  <c r="S73" i="195"/>
  <c r="U132" i="195"/>
  <c r="M195" i="195"/>
  <c r="O133" i="195"/>
  <c r="M210" i="195"/>
  <c r="N211" i="195" s="1"/>
  <c r="O216" i="195"/>
  <c r="P217" i="195" s="1"/>
  <c r="Q216" i="195"/>
  <c r="R217" i="195" s="1"/>
  <c r="W62" i="195"/>
  <c r="Y228" i="195"/>
  <c r="Z229" i="195" s="1"/>
  <c r="W136" i="195"/>
  <c r="U171" i="195"/>
  <c r="M74" i="195"/>
  <c r="M179" i="195"/>
  <c r="O136" i="195"/>
  <c r="Q213" i="195"/>
  <c r="R214" i="195" s="1"/>
  <c r="W94" i="195"/>
  <c r="W228" i="195"/>
  <c r="X229" i="195" s="1"/>
  <c r="O76" i="195"/>
  <c r="O151" i="195"/>
  <c r="W146" i="195"/>
  <c r="G125" i="195"/>
  <c r="J125" i="195" s="1"/>
  <c r="Y126" i="195"/>
  <c r="G127" i="195"/>
  <c r="J127" i="195" s="1"/>
  <c r="Y147" i="195"/>
  <c r="W210" i="195"/>
  <c r="X211" i="195" s="1"/>
  <c r="Q137" i="195"/>
  <c r="M145" i="195"/>
  <c r="O202" i="195"/>
  <c r="W157" i="195"/>
  <c r="G174" i="195"/>
  <c r="J174" i="195" s="1"/>
  <c r="S144" i="195"/>
  <c r="S152" i="195" s="1"/>
  <c r="T153" i="195" s="1"/>
  <c r="O77" i="195"/>
  <c r="O105" i="195"/>
  <c r="M79" i="195"/>
  <c r="S151" i="195"/>
  <c r="Q132" i="195"/>
  <c r="O144" i="195"/>
  <c r="O152" i="195" s="1"/>
  <c r="P153" i="195" s="1"/>
  <c r="W140" i="195"/>
  <c r="W181" i="195"/>
  <c r="Y120" i="195"/>
  <c r="S181" i="195"/>
  <c r="U81" i="195"/>
  <c r="Q219" i="195"/>
  <c r="R220" i="195" s="1"/>
  <c r="Y70" i="195"/>
  <c r="Y83" i="195" s="1"/>
  <c r="Z84" i="195" s="1"/>
  <c r="M202" i="195"/>
  <c r="W138" i="195"/>
  <c r="O128" i="195"/>
  <c r="M234" i="195"/>
  <c r="N235" i="195" s="1"/>
  <c r="W171" i="195"/>
  <c r="O74" i="195"/>
  <c r="G129" i="195"/>
  <c r="J129" i="195" s="1"/>
  <c r="W126" i="195"/>
  <c r="Q105" i="195"/>
  <c r="W117" i="195"/>
  <c r="W122" i="195" s="1"/>
  <c r="X123" i="195" s="1"/>
  <c r="U62" i="195"/>
  <c r="M94" i="195"/>
  <c r="W231" i="195"/>
  <c r="X232" i="195" s="1"/>
  <c r="M132" i="195"/>
  <c r="Y145" i="195"/>
  <c r="O145" i="195"/>
  <c r="S135" i="195"/>
  <c r="U183" i="195"/>
  <c r="O207" i="195"/>
  <c r="P208" i="195" s="1"/>
  <c r="Y148" i="195"/>
  <c r="U100" i="195"/>
  <c r="G192" i="195"/>
  <c r="J192" i="195" s="1"/>
  <c r="Y162" i="195"/>
  <c r="U151" i="195"/>
  <c r="Q231" i="195"/>
  <c r="R232" i="195" s="1"/>
  <c r="M200" i="195"/>
  <c r="M203" i="195" s="1"/>
  <c r="N204" i="195" s="1"/>
  <c r="W72" i="195"/>
  <c r="W77" i="195"/>
  <c r="O162" i="195"/>
  <c r="G155" i="195"/>
  <c r="J155" i="195" s="1"/>
  <c r="Q130" i="195"/>
  <c r="M201" i="195"/>
  <c r="W79" i="195"/>
  <c r="O130" i="195"/>
  <c r="M196" i="195"/>
  <c r="S213" i="195"/>
  <c r="T214" i="195" s="1"/>
  <c r="S130" i="195"/>
  <c r="W87" i="195"/>
  <c r="U112" i="195"/>
  <c r="M183" i="195"/>
  <c r="Q117" i="195"/>
  <c r="Q122" i="195" s="1"/>
  <c r="R123" i="195" s="1"/>
  <c r="U162" i="195"/>
  <c r="U78" i="195"/>
  <c r="S71" i="195"/>
  <c r="S137" i="195"/>
  <c r="G161" i="195"/>
  <c r="J161" i="195" s="1"/>
  <c r="U74" i="195"/>
  <c r="U195" i="195"/>
  <c r="S72" i="195"/>
  <c r="O112" i="195"/>
  <c r="U101" i="195"/>
  <c r="G102" i="195"/>
  <c r="J102" i="195" s="1"/>
  <c r="W196" i="195"/>
  <c r="G96" i="195"/>
  <c r="J96" i="195" s="1"/>
  <c r="Y135" i="195"/>
  <c r="M184" i="195"/>
  <c r="O159" i="195"/>
  <c r="Y216" i="195"/>
  <c r="Z217" i="195" s="1"/>
  <c r="Y200" i="195"/>
  <c r="Y203" i="195" s="1"/>
  <c r="Z204" i="195" s="1"/>
  <c r="M101" i="195"/>
  <c r="G66" i="195"/>
  <c r="J66" i="195" s="1"/>
  <c r="W73" i="195"/>
  <c r="S112" i="195"/>
  <c r="S186" i="195"/>
  <c r="M117" i="195"/>
  <c r="M122" i="195" s="1"/>
  <c r="N123" i="195" s="1"/>
  <c r="G109" i="195"/>
  <c r="J109" i="195" s="1"/>
  <c r="S162" i="195"/>
  <c r="Q101" i="195"/>
  <c r="S94" i="195"/>
  <c r="G172" i="195"/>
  <c r="J172" i="195" s="1"/>
  <c r="U64" i="195"/>
  <c r="M73" i="195"/>
  <c r="U200" i="195"/>
  <c r="U203" i="195" s="1"/>
  <c r="V204" i="195" s="1"/>
  <c r="M222" i="195"/>
  <c r="N223" i="195" s="1"/>
  <c r="U113" i="195"/>
  <c r="Q100" i="195"/>
  <c r="U202" i="195"/>
  <c r="G190" i="195"/>
  <c r="J190" i="195" s="1"/>
  <c r="U201" i="195"/>
  <c r="U126" i="195"/>
  <c r="M60" i="195"/>
  <c r="O149" i="195"/>
  <c r="O183" i="195"/>
  <c r="O87" i="195"/>
  <c r="W207" i="195"/>
  <c r="X208" i="195" s="1"/>
  <c r="Q128" i="195"/>
  <c r="Y74" i="195"/>
  <c r="O98" i="195"/>
  <c r="Q202" i="195"/>
  <c r="Y94" i="195"/>
  <c r="M138" i="195"/>
  <c r="S64" i="195"/>
  <c r="O71" i="195"/>
  <c r="O82" i="195"/>
  <c r="O138" i="195"/>
  <c r="W132" i="195"/>
  <c r="M140" i="195"/>
  <c r="Y179" i="195"/>
  <c r="S87" i="195"/>
  <c r="G86" i="195"/>
  <c r="J86" i="195" s="1"/>
  <c r="Q210" i="195"/>
  <c r="R211" i="195" s="1"/>
  <c r="W112" i="195"/>
  <c r="S225" i="195"/>
  <c r="T226" i="195" s="1"/>
  <c r="M81" i="195"/>
  <c r="W200" i="195"/>
  <c r="W203" i="195" s="1"/>
  <c r="X204" i="195" s="1"/>
  <c r="W147" i="195"/>
  <c r="M97" i="195"/>
  <c r="W148" i="195"/>
  <c r="Q146" i="195"/>
  <c r="U110" i="195"/>
  <c r="W110" i="195"/>
  <c r="S159" i="195"/>
  <c r="U144" i="195"/>
  <c r="U152" i="195" s="1"/>
  <c r="V153" i="195" s="1"/>
  <c r="M126" i="195"/>
  <c r="S79" i="195"/>
  <c r="Q167" i="195"/>
  <c r="S191" i="195"/>
  <c r="O100" i="195"/>
  <c r="M105" i="195"/>
  <c r="O60" i="195"/>
  <c r="U87" i="195"/>
  <c r="G88" i="195"/>
  <c r="J88" i="195" s="1"/>
  <c r="M77" i="195"/>
  <c r="Q70" i="195"/>
  <c r="Q83" i="195" s="1"/>
  <c r="R84" i="195" s="1"/>
  <c r="O191" i="195"/>
  <c r="W145" i="195"/>
  <c r="Y210" i="195"/>
  <c r="Z211" i="195" s="1"/>
  <c r="W81" i="195"/>
  <c r="M213" i="195"/>
  <c r="N214" i="195" s="1"/>
  <c r="Y159" i="195"/>
  <c r="Q110" i="195"/>
  <c r="G170" i="195"/>
  <c r="J170" i="195" s="1"/>
  <c r="S184" i="195"/>
  <c r="S193" i="195"/>
  <c r="Y79" i="195"/>
  <c r="G194" i="195"/>
  <c r="J194" i="195" s="1"/>
  <c r="U79" i="195"/>
  <c r="Q133" i="195"/>
  <c r="M181" i="195"/>
  <c r="W222" i="195"/>
  <c r="X223" i="195" s="1"/>
  <c r="S80" i="195"/>
  <c r="Q145" i="195"/>
  <c r="Q136" i="195"/>
  <c r="U76" i="195"/>
  <c r="Y171" i="195"/>
  <c r="W167" i="195"/>
  <c r="M216" i="195"/>
  <c r="N217" i="195" s="1"/>
  <c r="O110" i="195"/>
  <c r="M130" i="195"/>
  <c r="O117" i="195"/>
  <c r="O122" i="195" s="1"/>
  <c r="P123" i="195" s="1"/>
  <c r="U184" i="195"/>
  <c r="Q60" i="195"/>
  <c r="O181" i="195"/>
  <c r="Q207" i="195"/>
  <c r="R208" i="195" s="1"/>
  <c r="S148" i="195"/>
  <c r="Y71" i="195"/>
  <c r="S101" i="195"/>
  <c r="M219" i="195"/>
  <c r="N220" i="195" s="1"/>
  <c r="M169" i="195"/>
  <c r="W82" i="195"/>
  <c r="M146" i="195"/>
  <c r="Q222" i="195"/>
  <c r="R223" i="195" s="1"/>
  <c r="W144" i="195"/>
  <c r="W152" i="195" s="1"/>
  <c r="X153" i="195" s="1"/>
  <c r="M64" i="195"/>
  <c r="G182" i="195"/>
  <c r="J182" i="195" s="1"/>
  <c r="Y222" i="195"/>
  <c r="Z223" i="195" s="1"/>
  <c r="Q120" i="195"/>
  <c r="Q72" i="195"/>
  <c r="G111" i="195"/>
  <c r="J111" i="195" s="1"/>
  <c r="S74" i="195"/>
  <c r="U98" i="195"/>
  <c r="M110" i="195"/>
  <c r="G180" i="195"/>
  <c r="J180" i="195" s="1"/>
  <c r="Q147" i="195"/>
  <c r="M157" i="195"/>
  <c r="Q201" i="195"/>
  <c r="W150" i="195"/>
  <c r="U167" i="195"/>
  <c r="G89" i="195"/>
  <c r="J89" i="195" s="1"/>
  <c r="O195" i="195"/>
  <c r="U73" i="195"/>
  <c r="S195" i="195"/>
  <c r="Y231" i="195"/>
  <c r="Z232" i="195" s="1"/>
  <c r="M173" i="195"/>
  <c r="S150" i="195"/>
  <c r="Q234" i="195"/>
  <c r="R235" i="195" s="1"/>
  <c r="O196" i="195"/>
  <c r="Q159" i="195"/>
  <c r="O101" i="195"/>
  <c r="W98" i="195"/>
  <c r="Q77" i="195"/>
  <c r="O140" i="195"/>
  <c r="M137" i="195"/>
  <c r="Q200" i="195"/>
  <c r="Q203" i="195" s="1"/>
  <c r="R204" i="195" s="1"/>
  <c r="O126" i="195"/>
  <c r="S132" i="195"/>
  <c r="Q140" i="195"/>
  <c r="Q169" i="195"/>
  <c r="M82" i="195"/>
  <c r="Y184" i="195"/>
  <c r="O186" i="195"/>
  <c r="Q162" i="195"/>
  <c r="Y193" i="195"/>
  <c r="Y186" i="195"/>
  <c r="S62" i="195"/>
  <c r="S140" i="195"/>
  <c r="Q186" i="195"/>
  <c r="U137" i="195"/>
  <c r="Y213" i="195"/>
  <c r="Z214" i="195" s="1"/>
  <c r="Q98" i="195"/>
  <c r="Y100" i="195"/>
  <c r="W64" i="195"/>
  <c r="O148" i="195"/>
  <c r="G166" i="195"/>
  <c r="J166" i="195" s="1"/>
  <c r="W151" i="195"/>
  <c r="Y132" i="195"/>
  <c r="M70" i="195"/>
  <c r="M83" i="195" s="1"/>
  <c r="N84" i="195" s="1"/>
  <c r="U225" i="195"/>
  <c r="V226" i="195" s="1"/>
  <c r="U120" i="195"/>
  <c r="W120" i="195"/>
  <c r="W101" i="195"/>
  <c r="Q183" i="195"/>
  <c r="U173" i="195"/>
  <c r="U148" i="195"/>
  <c r="O79" i="195"/>
  <c r="U136" i="195"/>
  <c r="Q225" i="195"/>
  <c r="R226" i="195" s="1"/>
  <c r="M80" i="195"/>
  <c r="U219" i="195"/>
  <c r="V220" i="195" s="1"/>
  <c r="O225" i="195"/>
  <c r="P226" i="195" s="1"/>
  <c r="S149" i="195"/>
  <c r="Y181" i="195"/>
  <c r="M162" i="195"/>
  <c r="M71" i="195"/>
  <c r="Q179" i="195"/>
  <c r="Q173" i="195"/>
  <c r="U234" i="195"/>
  <c r="V235" i="195" s="1"/>
  <c r="O173" i="195"/>
  <c r="G61" i="195"/>
  <c r="J61" i="195" s="1"/>
  <c r="S117" i="195"/>
  <c r="S122" i="195" s="1"/>
  <c r="T123" i="195" s="1"/>
  <c r="U72" i="195"/>
  <c r="Y110" i="195"/>
  <c r="G99" i="195"/>
  <c r="J99" i="195" s="1"/>
  <c r="Y225" i="195"/>
  <c r="Z226" i="195" s="1"/>
  <c r="M228" i="195"/>
  <c r="N229" i="195" s="1"/>
  <c r="Y64" i="195"/>
  <c r="Y234" i="195"/>
  <c r="Z235" i="195" s="1"/>
  <c r="O146" i="195"/>
  <c r="O80" i="195"/>
  <c r="Y81" i="195"/>
  <c r="S60" i="195"/>
  <c r="W219" i="195"/>
  <c r="X220" i="195" s="1"/>
  <c r="M225" i="195"/>
  <c r="N226" i="195" s="1"/>
  <c r="U146" i="195"/>
  <c r="Y112" i="195"/>
  <c r="M78" i="195"/>
  <c r="U191" i="195"/>
  <c r="G95" i="195"/>
  <c r="J95" i="195" s="1"/>
  <c r="U135" i="195"/>
  <c r="G160" i="195"/>
  <c r="J160" i="195" s="1"/>
  <c r="G34" i="195"/>
  <c r="O38" i="195" s="1"/>
  <c r="M191" i="195"/>
  <c r="U117" i="195"/>
  <c r="U122" i="195" s="1"/>
  <c r="V123" i="195" s="1"/>
  <c r="Y80" i="195"/>
  <c r="Q74" i="195"/>
  <c r="Y73" i="195"/>
  <c r="Q87" i="195"/>
  <c r="U147" i="195"/>
  <c r="O228" i="195"/>
  <c r="P229" i="195" s="1"/>
  <c r="W133" i="195"/>
  <c r="Q97" i="195"/>
  <c r="S136" i="195"/>
  <c r="S222" i="195"/>
  <c r="T223" i="195" s="1"/>
  <c r="O97" i="195"/>
  <c r="M76" i="195"/>
  <c r="O171" i="195"/>
  <c r="S138" i="195"/>
  <c r="Y144" i="195"/>
  <c r="Y152" i="195" s="1"/>
  <c r="Z153" i="195" s="1"/>
  <c r="S133" i="195"/>
  <c r="Q64" i="195"/>
  <c r="M112" i="195"/>
  <c r="Y150" i="195"/>
  <c r="W100" i="195"/>
  <c r="G185" i="195"/>
  <c r="J185" i="195" s="1"/>
  <c r="G158" i="195"/>
  <c r="J158" i="195" s="1"/>
  <c r="G118" i="195"/>
  <c r="J118" i="195" s="1"/>
  <c r="G121" i="195"/>
  <c r="J121" i="195" s="1"/>
  <c r="S219" i="195"/>
  <c r="T220" i="195" s="1"/>
  <c r="M186" i="195"/>
  <c r="W137" i="195"/>
  <c r="G134" i="195"/>
  <c r="J134" i="195" s="1"/>
  <c r="M135" i="195"/>
  <c r="O234" i="195"/>
  <c r="P235" i="195" s="1"/>
  <c r="Y113" i="195"/>
  <c r="W105" i="195"/>
  <c r="M133" i="195"/>
  <c r="S202" i="195"/>
  <c r="U231" i="195"/>
  <c r="V232" i="195" s="1"/>
  <c r="U105" i="195"/>
  <c r="M207" i="195"/>
  <c r="N208" i="195" s="1"/>
  <c r="Q138" i="195"/>
  <c r="G131" i="195"/>
  <c r="J131" i="195" s="1"/>
  <c r="M144" i="195"/>
  <c r="M152" i="195" s="1"/>
  <c r="N153" i="195" s="1"/>
  <c r="M193" i="195"/>
  <c r="U82" i="195"/>
  <c r="W202" i="195"/>
  <c r="U150" i="195"/>
  <c r="S82" i="195"/>
  <c r="U149" i="195"/>
  <c r="S128" i="195"/>
  <c r="Q135" i="195"/>
  <c r="Q76" i="195"/>
  <c r="S113" i="195"/>
  <c r="Y82" i="195"/>
  <c r="W71" i="195"/>
  <c r="W159" i="195"/>
  <c r="Y140" i="195"/>
  <c r="S228" i="195"/>
  <c r="T229" i="195" s="1"/>
  <c r="G103" i="195"/>
  <c r="J103" i="195" s="1"/>
  <c r="S200" i="195"/>
  <c r="S203" i="195" s="1"/>
  <c r="T204" i="195" s="1"/>
  <c r="O70" i="195"/>
  <c r="O83" i="195" s="1"/>
  <c r="P84" i="195" s="1"/>
  <c r="G168" i="195"/>
  <c r="J168" i="195" s="1"/>
  <c r="O132" i="195"/>
  <c r="O157" i="195"/>
  <c r="Q113" i="195"/>
  <c r="Y78" i="195"/>
  <c r="M151" i="195"/>
  <c r="Y167" i="195"/>
  <c r="U128" i="195"/>
  <c r="U80" i="195"/>
  <c r="O113" i="195"/>
  <c r="G59" i="195"/>
  <c r="J59" i="195" s="1"/>
  <c r="Y137" i="195"/>
  <c r="Q150" i="195"/>
  <c r="U145" i="195"/>
  <c r="Q81" i="195"/>
  <c r="W183" i="195"/>
  <c r="O169" i="195"/>
  <c r="S231" i="195"/>
  <c r="T232" i="195" s="1"/>
  <c r="Y97" i="195"/>
  <c r="M62" i="195"/>
  <c r="U140" i="195"/>
  <c r="Y101" i="195"/>
  <c r="W70" i="195"/>
  <c r="W83" i="195" s="1"/>
  <c r="X84" i="195" s="1"/>
  <c r="O137" i="195"/>
  <c r="Y146" i="195"/>
  <c r="G104" i="195"/>
  <c r="J104" i="195" s="1"/>
  <c r="Y201" i="195"/>
  <c r="Q112" i="195"/>
  <c r="Q94" i="195"/>
  <c r="U77" i="195"/>
  <c r="M167" i="195"/>
  <c r="U216" i="195"/>
  <c r="V217" i="195" s="1"/>
  <c r="Y196" i="195"/>
  <c r="Y207" i="195"/>
  <c r="Z208" i="195" s="1"/>
  <c r="U222" i="195"/>
  <c r="V223" i="195" s="1"/>
  <c r="Q193" i="195"/>
  <c r="S76" i="195"/>
  <c r="S234" i="195"/>
  <c r="T235" i="195" s="1"/>
  <c r="W135" i="195"/>
  <c r="G156" i="195"/>
  <c r="J156" i="195" s="1"/>
  <c r="O78" i="195"/>
  <c r="Y169" i="195"/>
  <c r="S110" i="195"/>
  <c r="M72" i="195"/>
  <c r="U60" i="195"/>
  <c r="O200" i="195"/>
  <c r="O203" i="195" s="1"/>
  <c r="P204" i="195" s="1"/>
  <c r="Y117" i="195"/>
  <c r="Y122" i="195" s="1"/>
  <c r="Z123" i="195" s="1"/>
  <c r="Q228" i="195"/>
  <c r="R229" i="195" s="1"/>
  <c r="Y98" i="195"/>
  <c r="O222" i="195"/>
  <c r="P223" i="195" s="1"/>
  <c r="W195" i="195"/>
  <c r="U213" i="195"/>
  <c r="V214" i="195" s="1"/>
  <c r="U157" i="195"/>
  <c r="Y191" i="195"/>
  <c r="Y151" i="195"/>
  <c r="S196" i="195"/>
  <c r="O64" i="195"/>
  <c r="U133" i="195"/>
  <c r="S146" i="195"/>
  <c r="Y62" i="195"/>
  <c r="Q157" i="195"/>
  <c r="W225" i="195"/>
  <c r="X226" i="195" s="1"/>
  <c r="Q196" i="195"/>
  <c r="Y183" i="195"/>
  <c r="Q78" i="195"/>
  <c r="O62" i="195"/>
  <c r="M147" i="195"/>
  <c r="G139" i="195"/>
  <c r="J139" i="195" s="1"/>
  <c r="W78" i="195"/>
  <c r="W128" i="195"/>
  <c r="O184" i="195"/>
  <c r="M98" i="195"/>
  <c r="U179" i="195"/>
  <c r="O120" i="195"/>
  <c r="O135" i="195"/>
  <c r="Q171" i="195"/>
  <c r="Q195" i="195"/>
  <c r="S98" i="195"/>
  <c r="M100" i="195"/>
  <c r="O167" i="195"/>
  <c r="W213" i="195"/>
  <c r="X214" i="195" s="1"/>
  <c r="Y60" i="195"/>
  <c r="Y202" i="195"/>
  <c r="O231" i="195"/>
  <c r="P232" i="195" s="1"/>
  <c r="W169" i="195"/>
  <c r="Y133" i="195"/>
  <c r="Y149" i="195"/>
  <c r="O201" i="195"/>
  <c r="O72" i="195"/>
  <c r="G93" i="195"/>
  <c r="J93" i="195" s="1"/>
  <c r="M171" i="195"/>
  <c r="S126" i="195"/>
  <c r="U94" i="195"/>
  <c r="Y136" i="195"/>
  <c r="S100" i="195"/>
  <c r="S81" i="195"/>
  <c r="W162" i="195"/>
  <c r="U196" i="195"/>
  <c r="Q82" i="195"/>
  <c r="S157" i="195"/>
  <c r="Y128" i="195"/>
  <c r="Y157" i="195"/>
  <c r="S62" i="253" l="1"/>
  <c r="W62" i="253"/>
  <c r="O62" i="253"/>
  <c r="M62" i="253"/>
  <c r="Y78" i="253"/>
  <c r="M78" i="253"/>
  <c r="W78" i="253"/>
  <c r="O78" i="253"/>
  <c r="W76" i="253"/>
  <c r="S76" i="253"/>
  <c r="N30" i="353"/>
  <c r="L9" i="353"/>
  <c r="AA208" i="195"/>
  <c r="AA80" i="253"/>
  <c r="AA68" i="253"/>
  <c r="Q93" i="195"/>
  <c r="Q106" i="195" s="1"/>
  <c r="R107" i="195" s="1"/>
  <c r="U93" i="195"/>
  <c r="U106" i="195" s="1"/>
  <c r="V107" i="195" s="1"/>
  <c r="M93" i="195"/>
  <c r="M106" i="195" s="1"/>
  <c r="N107" i="195" s="1"/>
  <c r="S93" i="195"/>
  <c r="S106" i="195" s="1"/>
  <c r="T107" i="195" s="1"/>
  <c r="W93" i="195"/>
  <c r="W106" i="195" s="1"/>
  <c r="X107" i="195" s="1"/>
  <c r="Y93" i="195"/>
  <c r="Y106" i="195" s="1"/>
  <c r="Z107" i="195" s="1"/>
  <c r="O93" i="195"/>
  <c r="O106" i="195" s="1"/>
  <c r="P107" i="195" s="1"/>
  <c r="U104" i="195"/>
  <c r="Y104" i="195"/>
  <c r="Q104" i="195"/>
  <c r="S104" i="195"/>
  <c r="O104" i="195"/>
  <c r="M104" i="195"/>
  <c r="W104" i="195"/>
  <c r="M103" i="195"/>
  <c r="W103" i="195"/>
  <c r="U103" i="195"/>
  <c r="O103" i="195"/>
  <c r="Q103" i="195"/>
  <c r="Y103" i="195"/>
  <c r="S103" i="195"/>
  <c r="AA153" i="195"/>
  <c r="Q134" i="195"/>
  <c r="O134" i="195"/>
  <c r="M134" i="195"/>
  <c r="U134" i="195"/>
  <c r="W134" i="195"/>
  <c r="S134" i="195"/>
  <c r="Y134" i="195"/>
  <c r="U121" i="195"/>
  <c r="Q121" i="195"/>
  <c r="O121" i="195"/>
  <c r="Y121" i="195"/>
  <c r="M121" i="195"/>
  <c r="S121" i="195"/>
  <c r="W121" i="195"/>
  <c r="O99" i="195"/>
  <c r="U99" i="195"/>
  <c r="S99" i="195"/>
  <c r="Y99" i="195"/>
  <c r="Q99" i="195"/>
  <c r="M99" i="195"/>
  <c r="W99" i="195"/>
  <c r="Y61" i="195"/>
  <c r="S61" i="195"/>
  <c r="U61" i="195"/>
  <c r="O61" i="195"/>
  <c r="W61" i="195"/>
  <c r="M61" i="195"/>
  <c r="Q61" i="195"/>
  <c r="Y89" i="195"/>
  <c r="S89" i="195"/>
  <c r="W89" i="195"/>
  <c r="U89" i="195"/>
  <c r="O89" i="195"/>
  <c r="M89" i="195"/>
  <c r="Q89" i="195"/>
  <c r="AA217" i="195"/>
  <c r="Q129" i="195"/>
  <c r="S129" i="195"/>
  <c r="Y129" i="195"/>
  <c r="U129" i="195"/>
  <c r="W129" i="195"/>
  <c r="O129" i="195"/>
  <c r="M129" i="195"/>
  <c r="W127" i="195"/>
  <c r="S127" i="195"/>
  <c r="Y127" i="195"/>
  <c r="Q127" i="195"/>
  <c r="M127" i="195"/>
  <c r="O127" i="195"/>
  <c r="U127" i="195"/>
  <c r="AA232" i="195"/>
  <c r="W168" i="195"/>
  <c r="U168" i="195"/>
  <c r="M168" i="195"/>
  <c r="Q168" i="195"/>
  <c r="Y168" i="195"/>
  <c r="O168" i="195"/>
  <c r="S168" i="195"/>
  <c r="Q131" i="195"/>
  <c r="W131" i="195"/>
  <c r="Y131" i="195"/>
  <c r="S131" i="195"/>
  <c r="M131" i="195"/>
  <c r="U131" i="195"/>
  <c r="O131" i="195"/>
  <c r="M118" i="195"/>
  <c r="Q118" i="195"/>
  <c r="U118" i="195"/>
  <c r="O118" i="195"/>
  <c r="W118" i="195"/>
  <c r="S118" i="195"/>
  <c r="Y118" i="195"/>
  <c r="Y95" i="195"/>
  <c r="W95" i="195"/>
  <c r="S95" i="195"/>
  <c r="Q95" i="195"/>
  <c r="O95" i="195"/>
  <c r="U95" i="195"/>
  <c r="M95" i="195"/>
  <c r="Q166" i="195"/>
  <c r="Q175" i="195" s="1"/>
  <c r="R176" i="195" s="1"/>
  <c r="M166" i="195"/>
  <c r="M175" i="195" s="1"/>
  <c r="N176" i="195" s="1"/>
  <c r="O166" i="195"/>
  <c r="O175" i="195" s="1"/>
  <c r="P176" i="195" s="1"/>
  <c r="U166" i="195"/>
  <c r="U175" i="195" s="1"/>
  <c r="V176" i="195" s="1"/>
  <c r="S166" i="195"/>
  <c r="S175" i="195" s="1"/>
  <c r="T176" i="195" s="1"/>
  <c r="W166" i="195"/>
  <c r="W175" i="195" s="1"/>
  <c r="X176" i="195" s="1"/>
  <c r="Y166" i="195"/>
  <c r="Y175" i="195" s="1"/>
  <c r="Z176" i="195" s="1"/>
  <c r="AA220" i="195"/>
  <c r="M88" i="195"/>
  <c r="Y88" i="195"/>
  <c r="Q88" i="195"/>
  <c r="S88" i="195"/>
  <c r="U88" i="195"/>
  <c r="O88" i="195"/>
  <c r="W88" i="195"/>
  <c r="S190" i="195"/>
  <c r="S197" i="195" s="1"/>
  <c r="T198" i="195" s="1"/>
  <c r="U190" i="195"/>
  <c r="U197" i="195" s="1"/>
  <c r="V198" i="195" s="1"/>
  <c r="Q190" i="195"/>
  <c r="Q197" i="195" s="1"/>
  <c r="R198" i="195" s="1"/>
  <c r="O190" i="195"/>
  <c r="O197" i="195" s="1"/>
  <c r="P198" i="195" s="1"/>
  <c r="W190" i="195"/>
  <c r="W197" i="195" s="1"/>
  <c r="X198" i="195" s="1"/>
  <c r="Y190" i="195"/>
  <c r="Y197" i="195" s="1"/>
  <c r="Z198" i="195" s="1"/>
  <c r="M190" i="195"/>
  <c r="M197" i="195" s="1"/>
  <c r="N198" i="195" s="1"/>
  <c r="AA223" i="195"/>
  <c r="M172" i="195"/>
  <c r="Y172" i="195"/>
  <c r="W172" i="195"/>
  <c r="S172" i="195"/>
  <c r="Q172" i="195"/>
  <c r="U172" i="195"/>
  <c r="O172" i="195"/>
  <c r="W109" i="195"/>
  <c r="W114" i="195" s="1"/>
  <c r="X115" i="195" s="1"/>
  <c r="Q109" i="195"/>
  <c r="Q114" i="195" s="1"/>
  <c r="R115" i="195" s="1"/>
  <c r="O109" i="195"/>
  <c r="O114" i="195" s="1"/>
  <c r="P115" i="195" s="1"/>
  <c r="S109" i="195"/>
  <c r="S114" i="195" s="1"/>
  <c r="T115" i="195" s="1"/>
  <c r="Y109" i="195"/>
  <c r="Y114" i="195" s="1"/>
  <c r="Z115" i="195" s="1"/>
  <c r="U109" i="195"/>
  <c r="U114" i="195" s="1"/>
  <c r="V115" i="195" s="1"/>
  <c r="M109" i="195"/>
  <c r="M114" i="195" s="1"/>
  <c r="N115" i="195" s="1"/>
  <c r="W96" i="195"/>
  <c r="Q96" i="195"/>
  <c r="Y96" i="195"/>
  <c r="S96" i="195"/>
  <c r="M96" i="195"/>
  <c r="U96" i="195"/>
  <c r="O96" i="195"/>
  <c r="W161" i="195"/>
  <c r="S161" i="195"/>
  <c r="M161" i="195"/>
  <c r="U161" i="195"/>
  <c r="Q161" i="195"/>
  <c r="O161" i="195"/>
  <c r="Y161" i="195"/>
  <c r="M155" i="195"/>
  <c r="M163" i="195" s="1"/>
  <c r="N164" i="195" s="1"/>
  <c r="S155" i="195"/>
  <c r="S163" i="195" s="1"/>
  <c r="T164" i="195" s="1"/>
  <c r="Y155" i="195"/>
  <c r="Y163" i="195" s="1"/>
  <c r="Z164" i="195" s="1"/>
  <c r="Q155" i="195"/>
  <c r="Q163" i="195" s="1"/>
  <c r="R164" i="195" s="1"/>
  <c r="W155" i="195"/>
  <c r="W163" i="195" s="1"/>
  <c r="X164" i="195" s="1"/>
  <c r="U155" i="195"/>
  <c r="U163" i="195" s="1"/>
  <c r="V164" i="195" s="1"/>
  <c r="O155" i="195"/>
  <c r="O163" i="195" s="1"/>
  <c r="P164" i="195" s="1"/>
  <c r="AA204" i="195"/>
  <c r="M192" i="195"/>
  <c r="O192" i="195"/>
  <c r="Y192" i="195"/>
  <c r="Q192" i="195"/>
  <c r="W192" i="195"/>
  <c r="S192" i="195"/>
  <c r="U192" i="195"/>
  <c r="U174" i="195"/>
  <c r="Y174" i="195"/>
  <c r="S174" i="195"/>
  <c r="Q174" i="195"/>
  <c r="W174" i="195"/>
  <c r="O174" i="195"/>
  <c r="M174" i="195"/>
  <c r="O75" i="195"/>
  <c r="W75" i="195"/>
  <c r="U75" i="195"/>
  <c r="Q75" i="195"/>
  <c r="Y75" i="195"/>
  <c r="M75" i="195"/>
  <c r="S75" i="195"/>
  <c r="M139" i="195"/>
  <c r="Q139" i="195"/>
  <c r="Y139" i="195"/>
  <c r="U139" i="195"/>
  <c r="O139" i="195"/>
  <c r="S139" i="195"/>
  <c r="W139" i="195"/>
  <c r="Y156" i="195"/>
  <c r="U156" i="195"/>
  <c r="W156" i="195"/>
  <c r="M156" i="195"/>
  <c r="S156" i="195"/>
  <c r="O156" i="195"/>
  <c r="Q156" i="195"/>
  <c r="U158" i="195"/>
  <c r="S158" i="195"/>
  <c r="M158" i="195"/>
  <c r="O158" i="195"/>
  <c r="Y158" i="195"/>
  <c r="Q158" i="195"/>
  <c r="W158" i="195"/>
  <c r="AA226" i="195"/>
  <c r="AA229" i="195"/>
  <c r="AA84" i="195"/>
  <c r="M180" i="195"/>
  <c r="Y180" i="195"/>
  <c r="U180" i="195"/>
  <c r="W180" i="195"/>
  <c r="S180" i="195"/>
  <c r="Q180" i="195"/>
  <c r="O180" i="195"/>
  <c r="Y111" i="195"/>
  <c r="S111" i="195"/>
  <c r="Q111" i="195"/>
  <c r="M111" i="195"/>
  <c r="O111" i="195"/>
  <c r="U111" i="195"/>
  <c r="W111" i="195"/>
  <c r="O182" i="195"/>
  <c r="W182" i="195"/>
  <c r="Q182" i="195"/>
  <c r="U182" i="195"/>
  <c r="Y182" i="195"/>
  <c r="S182" i="195"/>
  <c r="M182" i="195"/>
  <c r="AA214" i="195"/>
  <c r="AA123" i="195"/>
  <c r="M66" i="195"/>
  <c r="Y66" i="195"/>
  <c r="U66" i="195"/>
  <c r="Q66" i="195"/>
  <c r="S66" i="195"/>
  <c r="W66" i="195"/>
  <c r="O66" i="195"/>
  <c r="M125" i="195"/>
  <c r="M141" i="195" s="1"/>
  <c r="N142" i="195" s="1"/>
  <c r="W125" i="195"/>
  <c r="W141" i="195" s="1"/>
  <c r="X142" i="195" s="1"/>
  <c r="U125" i="195"/>
  <c r="U141" i="195" s="1"/>
  <c r="V142" i="195" s="1"/>
  <c r="O125" i="195"/>
  <c r="O141" i="195" s="1"/>
  <c r="P142" i="195" s="1"/>
  <c r="Q125" i="195"/>
  <c r="Q141" i="195" s="1"/>
  <c r="R142" i="195" s="1"/>
  <c r="S125" i="195"/>
  <c r="S141" i="195" s="1"/>
  <c r="T142" i="195" s="1"/>
  <c r="Y125" i="195"/>
  <c r="Y141" i="195" s="1"/>
  <c r="Z142" i="195" s="1"/>
  <c r="AA211" i="195"/>
  <c r="Y178" i="195"/>
  <c r="Y187" i="195" s="1"/>
  <c r="Z188" i="195" s="1"/>
  <c r="M178" i="195"/>
  <c r="M187" i="195" s="1"/>
  <c r="N188" i="195" s="1"/>
  <c r="W178" i="195"/>
  <c r="W187" i="195" s="1"/>
  <c r="X188" i="195" s="1"/>
  <c r="Q178" i="195"/>
  <c r="Q187" i="195" s="1"/>
  <c r="R188" i="195" s="1"/>
  <c r="O178" i="195"/>
  <c r="O187" i="195" s="1"/>
  <c r="P188" i="195" s="1"/>
  <c r="S178" i="195"/>
  <c r="S187" i="195" s="1"/>
  <c r="T188" i="195" s="1"/>
  <c r="U178" i="195"/>
  <c r="U187" i="195" s="1"/>
  <c r="V188" i="195" s="1"/>
  <c r="W65" i="195"/>
  <c r="S65" i="195"/>
  <c r="Q65" i="195"/>
  <c r="Y65" i="195"/>
  <c r="O65" i="195"/>
  <c r="U65" i="195"/>
  <c r="M65" i="195"/>
  <c r="U63" i="195"/>
  <c r="W63" i="195"/>
  <c r="Y63" i="195"/>
  <c r="M63" i="195"/>
  <c r="Q63" i="195"/>
  <c r="O63" i="195"/>
  <c r="S63" i="195"/>
  <c r="J10" i="251"/>
  <c r="J11" i="251"/>
  <c r="U59" i="195"/>
  <c r="U67" i="195" s="1"/>
  <c r="V68" i="195" s="1"/>
  <c r="M59" i="195"/>
  <c r="M67" i="195" s="1"/>
  <c r="N68" i="195" s="1"/>
  <c r="S59" i="195"/>
  <c r="S67" i="195" s="1"/>
  <c r="T68" i="195" s="1"/>
  <c r="J67" i="195"/>
  <c r="W59" i="195"/>
  <c r="W67" i="195" s="1"/>
  <c r="X68" i="195" s="1"/>
  <c r="Q59" i="195"/>
  <c r="Q67" i="195" s="1"/>
  <c r="R68" i="195" s="1"/>
  <c r="O59" i="195"/>
  <c r="O67" i="195" s="1"/>
  <c r="P68" i="195" s="1"/>
  <c r="Y59" i="195"/>
  <c r="Y67" i="195" s="1"/>
  <c r="Z68" i="195" s="1"/>
  <c r="S185" i="195"/>
  <c r="W185" i="195"/>
  <c r="O185" i="195"/>
  <c r="Y185" i="195"/>
  <c r="U185" i="195"/>
  <c r="M185" i="195"/>
  <c r="Q185" i="195"/>
  <c r="W160" i="195"/>
  <c r="U160" i="195"/>
  <c r="O160" i="195"/>
  <c r="Q160" i="195"/>
  <c r="M160" i="195"/>
  <c r="S160" i="195"/>
  <c r="Y160" i="195"/>
  <c r="U194" i="195"/>
  <c r="M194" i="195"/>
  <c r="Y194" i="195"/>
  <c r="S194" i="195"/>
  <c r="W194" i="195"/>
  <c r="O194" i="195"/>
  <c r="Q194" i="195"/>
  <c r="Q170" i="195"/>
  <c r="S170" i="195"/>
  <c r="M170" i="195"/>
  <c r="Y170" i="195"/>
  <c r="U170" i="195"/>
  <c r="W170" i="195"/>
  <c r="O170" i="195"/>
  <c r="S86" i="195"/>
  <c r="S90" i="195" s="1"/>
  <c r="T91" i="195" s="1"/>
  <c r="Y86" i="195"/>
  <c r="Y90" i="195" s="1"/>
  <c r="Z91" i="195" s="1"/>
  <c r="O86" i="195"/>
  <c r="O90" i="195" s="1"/>
  <c r="P91" i="195" s="1"/>
  <c r="M86" i="195"/>
  <c r="M90" i="195" s="1"/>
  <c r="N91" i="195" s="1"/>
  <c r="Q86" i="195"/>
  <c r="Q90" i="195" s="1"/>
  <c r="R91" i="195" s="1"/>
  <c r="W86" i="195"/>
  <c r="W90" i="195" s="1"/>
  <c r="X91" i="195" s="1"/>
  <c r="U86" i="195"/>
  <c r="U90" i="195" s="1"/>
  <c r="V91" i="195" s="1"/>
  <c r="W102" i="195"/>
  <c r="Y102" i="195"/>
  <c r="S102" i="195"/>
  <c r="O102" i="195"/>
  <c r="M102" i="195"/>
  <c r="U102" i="195"/>
  <c r="Q102" i="195"/>
  <c r="AA235" i="195"/>
  <c r="Q119" i="195"/>
  <c r="M119" i="195"/>
  <c r="Y119" i="195"/>
  <c r="S119" i="195"/>
  <c r="W119" i="195"/>
  <c r="U119" i="195"/>
  <c r="O119" i="195"/>
  <c r="L30" i="353" l="1"/>
  <c r="E35" i="353" s="1"/>
  <c r="J9" i="353"/>
  <c r="E32" i="353"/>
  <c r="H32" i="353"/>
  <c r="I11" i="346" s="1"/>
  <c r="H35" i="353"/>
  <c r="AA85" i="253"/>
  <c r="AA198" i="195"/>
  <c r="AA115" i="195"/>
  <c r="AA68" i="195"/>
  <c r="AA142" i="195"/>
  <c r="AA176" i="195"/>
  <c r="AA107" i="195"/>
  <c r="AA91" i="195"/>
  <c r="AA188" i="195"/>
  <c r="AA164" i="195"/>
  <c r="AA237" i="195" l="1"/>
</calcChain>
</file>

<file path=xl/sharedStrings.xml><?xml version="1.0" encoding="utf-8"?>
<sst xmlns="http://schemas.openxmlformats.org/spreadsheetml/2006/main" count="1137" uniqueCount="363">
  <si>
    <t>Расчет выполнен в соответствии с:  - "Міжгалузевими нормами витрат палива для опалювальних котлів, які експлуатуються в Україні", утвержденных приказом Государственного комитета Украины по энергосбережению № 46 от 07.05.2001г.;                                                                                                                                                                - КТМ 204 України 244-94 "Норми та вказівки по нормуванню витрат палива та теплової енергії на опалення житлових та громадських споруд, а також на господарсько-побутові потреби в Україні".</t>
  </si>
  <si>
    <t>гр.7 - мощность котла, принимается в соответствии с паспортными данными котла;</t>
  </si>
  <si>
    <t>гр.9 - УРТвыр. - индивидуальная норма расхода топлива котлом принимается по результатам эколого-теплотехнических испытаний при средней нагрузке на котел;</t>
  </si>
  <si>
    <t>гр.10 - КПД котла, бр., % - определяется по формуле 5.7. "КТМ  204 України 244-94";</t>
  </si>
  <si>
    <t>гр.11 - средний КПД котельной, бр., % -  определяется по формуле 5.6 "КТМ 204 України 244-94";</t>
  </si>
  <si>
    <t>Средний УРТ на выработку по котельной определяется по формуле 5.7. КТМ 204 України 244-94.</t>
  </si>
  <si>
    <t>Удельный расход топлива на отпуск по котельной определяется по формуле 5.9. КТМ 204 України 244-94.</t>
  </si>
  <si>
    <t>Величина групповой нормы расхода топлива на отпуск тепловой энергии  по предприятию определяется по формуле 5.19 КТМ 204 України 244-94.</t>
  </si>
  <si>
    <t>Начальник</t>
  </si>
  <si>
    <t>Найменування</t>
  </si>
  <si>
    <t xml:space="preserve">Начальник </t>
  </si>
  <si>
    <t>Р.В. Алісов</t>
  </si>
  <si>
    <t>Котельня №32</t>
  </si>
  <si>
    <t>Котельня №35</t>
  </si>
  <si>
    <t>Qmax бюдж., Гкал/годину</t>
  </si>
  <si>
    <t>усього Qвтрати., Гкал</t>
  </si>
  <si>
    <t>% втрат в т.тр</t>
  </si>
  <si>
    <t>% втрат с.н.</t>
  </si>
  <si>
    <t>Котельня № 35</t>
  </si>
  <si>
    <t>Міні котельня  смт.Тошківка (Територіальна громада смт Тошківка)</t>
  </si>
  <si>
    <r>
      <t>Ƞ</t>
    </r>
    <r>
      <rPr>
        <vertAlign val="superscript"/>
        <sz val="10"/>
        <rFont val="Times New Roman"/>
        <family val="1"/>
        <charset val="204"/>
      </rPr>
      <t>бр</t>
    </r>
    <r>
      <rPr>
        <sz val="10"/>
        <rFont val="Times New Roman"/>
        <family val="1"/>
        <charset val="204"/>
      </rPr>
      <t xml:space="preserve"> котел№1 =</t>
    </r>
  </si>
  <si>
    <r>
      <t>Ƞ</t>
    </r>
    <r>
      <rPr>
        <vertAlign val="superscript"/>
        <sz val="10"/>
        <rFont val="Times New Roman"/>
        <family val="1"/>
        <charset val="204"/>
      </rPr>
      <t>бр</t>
    </r>
    <r>
      <rPr>
        <sz val="10"/>
        <rFont val="Times New Roman"/>
        <family val="1"/>
        <charset val="204"/>
      </rPr>
      <t xml:space="preserve"> котел№2 =</t>
    </r>
  </si>
  <si>
    <r>
      <t>Ƞ</t>
    </r>
    <r>
      <rPr>
        <vertAlign val="superscript"/>
        <sz val="10"/>
        <rFont val="Times New Roman"/>
        <family val="1"/>
        <charset val="204"/>
      </rPr>
      <t>бр</t>
    </r>
    <r>
      <rPr>
        <sz val="10"/>
        <rFont val="Times New Roman"/>
        <family val="1"/>
        <charset val="204"/>
      </rPr>
      <t xml:space="preserve"> котел№3</t>
    </r>
  </si>
  <si>
    <r>
      <t>Ƞ</t>
    </r>
    <r>
      <rPr>
        <vertAlign val="superscript"/>
        <sz val="10"/>
        <rFont val="Times New Roman"/>
        <family val="1"/>
        <charset val="204"/>
      </rPr>
      <t>бр</t>
    </r>
    <r>
      <rPr>
        <sz val="10"/>
        <rFont val="Times New Roman"/>
        <family val="1"/>
        <charset val="204"/>
      </rPr>
      <t xml:space="preserve"> котел№4</t>
    </r>
  </si>
  <si>
    <r>
      <t>Ƞ</t>
    </r>
    <r>
      <rPr>
        <vertAlign val="superscript"/>
        <sz val="10"/>
        <rFont val="Times New Roman"/>
        <family val="1"/>
        <charset val="204"/>
      </rPr>
      <t>бр</t>
    </r>
    <r>
      <rPr>
        <sz val="10"/>
        <rFont val="Times New Roman"/>
        <family val="1"/>
        <charset val="204"/>
      </rPr>
      <t xml:space="preserve"> котел№5</t>
    </r>
    <r>
      <rPr>
        <sz val="10"/>
        <rFont val="Arial Cyr"/>
        <charset val="204"/>
      </rPr>
      <t/>
    </r>
  </si>
  <si>
    <r>
      <t>(Ƞ</t>
    </r>
    <r>
      <rPr>
        <vertAlign val="superscript"/>
        <sz val="10"/>
        <rFont val="Times New Roman"/>
        <family val="1"/>
        <charset val="204"/>
      </rPr>
      <t>бр</t>
    </r>
    <r>
      <rPr>
        <vertAlign val="subscript"/>
        <sz val="10"/>
        <rFont val="Times New Roman"/>
        <family val="1"/>
        <charset val="204"/>
      </rPr>
      <t xml:space="preserve"> кот</t>
    </r>
    <r>
      <rPr>
        <sz val="10"/>
        <rFont val="Times New Roman"/>
        <family val="1"/>
        <charset val="204"/>
      </rPr>
      <t>)ср.=</t>
    </r>
  </si>
  <si>
    <r>
      <t>(Ƞ</t>
    </r>
    <r>
      <rPr>
        <vertAlign val="superscript"/>
        <sz val="10"/>
        <rFont val="Times New Roman"/>
        <family val="1"/>
        <charset val="204"/>
      </rPr>
      <t>бр</t>
    </r>
    <r>
      <rPr>
        <vertAlign val="subscript"/>
        <sz val="10"/>
        <rFont val="Times New Roman"/>
        <family val="1"/>
        <charset val="204"/>
      </rPr>
      <t xml:space="preserve"> кот</t>
    </r>
    <r>
      <rPr>
        <sz val="10"/>
        <rFont val="Times New Roman"/>
        <family val="1"/>
        <charset val="204"/>
      </rPr>
      <t>)ср.  =</t>
    </r>
  </si>
  <si>
    <t>Розрахунок втрат у теплових мережах на 2018рік</t>
  </si>
  <si>
    <t>втрати</t>
  </si>
  <si>
    <t>у теплових 
мережах</t>
  </si>
  <si>
    <t xml:space="preserve">                                                                                                  Котельня № 37</t>
  </si>
  <si>
    <t xml:space="preserve">                                                                                                  Котельня № 36</t>
  </si>
  <si>
    <r>
      <t xml:space="preserve">По таблицам 3-5  РД 34.09.255-97 для каждого диаметра определим </t>
    </r>
    <r>
      <rPr>
        <b/>
        <sz val="12"/>
        <rFont val="Times New Roman"/>
        <family val="1"/>
        <charset val="204"/>
      </rPr>
      <t>qн</t>
    </r>
  </si>
  <si>
    <r>
      <t xml:space="preserve">По таблице 7.6 (с.331) Справочника "Наладка и эксплуатация водяных тепловых сетей" В.И.Манюк и др. (таблица 1 РД 34.09.255-97) находим </t>
    </r>
    <r>
      <rPr>
        <b/>
        <sz val="16"/>
        <rFont val="Times New Roman"/>
        <family val="1"/>
        <charset val="204"/>
      </rPr>
      <t>q</t>
    </r>
    <r>
      <rPr>
        <b/>
        <sz val="12"/>
        <rFont val="Times New Roman"/>
        <family val="1"/>
        <charset val="204"/>
      </rPr>
      <t>н</t>
    </r>
    <r>
      <rPr>
        <sz val="12"/>
        <rFont val="Times New Roman"/>
        <family val="1"/>
        <charset val="204"/>
      </rPr>
      <t xml:space="preserve"> при </t>
    </r>
  </si>
  <si>
    <r>
      <t>q</t>
    </r>
    <r>
      <rPr>
        <b/>
        <sz val="12"/>
        <rFont val="Times New Roman"/>
        <family val="1"/>
        <charset val="204"/>
      </rPr>
      <t>н</t>
    </r>
  </si>
  <si>
    <t>заполнение на 1 м трубопровода (м³)</t>
  </si>
  <si>
    <t>кг.у.п./Гкал</t>
  </si>
  <si>
    <t>Витрати ел.енергії кВт*год</t>
  </si>
  <si>
    <t>кВт*год/Гкал</t>
  </si>
  <si>
    <t>грн/Гкал</t>
  </si>
  <si>
    <t>-</t>
  </si>
  <si>
    <t>січень</t>
  </si>
  <si>
    <t>лютий</t>
  </si>
  <si>
    <t>березень</t>
  </si>
  <si>
    <t>квітень</t>
  </si>
  <si>
    <t>жовтень</t>
  </si>
  <si>
    <t>листопад</t>
  </si>
  <si>
    <t>період</t>
  </si>
  <si>
    <t>Гкал</t>
  </si>
  <si>
    <t>грудень</t>
  </si>
  <si>
    <t>=</t>
  </si>
  <si>
    <t>*</t>
  </si>
  <si>
    <t>Qмес. реал., Гкал</t>
  </si>
  <si>
    <t>Qвыр  , Гкал</t>
  </si>
  <si>
    <t>Qт.тр., Гкал</t>
  </si>
  <si>
    <t>Qс.н, Гкал</t>
  </si>
  <si>
    <t>УРТ</t>
  </si>
  <si>
    <t>газ</t>
  </si>
  <si>
    <t>тип котла</t>
  </si>
  <si>
    <t>К1</t>
  </si>
  <si>
    <t>К2</t>
  </si>
  <si>
    <t>К3</t>
  </si>
  <si>
    <t>1*1000000*100</t>
  </si>
  <si>
    <t>÷  7000  ÷</t>
  </si>
  <si>
    <t>%</t>
  </si>
  <si>
    <r>
      <t>b</t>
    </r>
    <r>
      <rPr>
        <vertAlign val="subscript"/>
        <sz val="12"/>
        <rFont val="Times New Roman"/>
        <family val="1"/>
        <charset val="204"/>
      </rPr>
      <t>выр  =</t>
    </r>
  </si>
  <si>
    <t>кг у.т./Гкал</t>
  </si>
  <si>
    <r>
      <t>В</t>
    </r>
    <r>
      <rPr>
        <vertAlign val="superscript"/>
        <sz val="12"/>
        <rFont val="Times New Roman"/>
        <family val="1"/>
        <charset val="204"/>
      </rPr>
      <t>ум</t>
    </r>
    <r>
      <rPr>
        <vertAlign val="subscript"/>
        <sz val="12"/>
        <rFont val="Times New Roman"/>
        <family val="1"/>
        <charset val="204"/>
      </rPr>
      <t>выр</t>
    </r>
  </si>
  <si>
    <t>кг у.т.</t>
  </si>
  <si>
    <t>÷   7000  ÷</t>
  </si>
  <si>
    <t>НР - 18</t>
  </si>
  <si>
    <t>1*1000000*101</t>
  </si>
  <si>
    <t>ТВГ -8М</t>
  </si>
  <si>
    <t>КСВа - 3Г</t>
  </si>
  <si>
    <t>годин</t>
  </si>
  <si>
    <t xml:space="preserve">температура </t>
  </si>
  <si>
    <t>t под.</t>
  </si>
  <si>
    <t>t зв.</t>
  </si>
  <si>
    <t>Т грунта</t>
  </si>
  <si>
    <t>Тводи</t>
  </si>
  <si>
    <t>днів</t>
  </si>
  <si>
    <t>Потери тепловой энергии с непроизводственной утечкой воды из теплосети определяются по формуле</t>
  </si>
  <si>
    <t>Qут. = 0,5*С*Gут*(Тп.м + Тоб.м. - 2*Тх.в.) * 10³</t>
  </si>
  <si>
    <t>ккал/ч</t>
  </si>
  <si>
    <t>Gут. = 0,0025 * Vc</t>
  </si>
  <si>
    <t>м³/ч</t>
  </si>
  <si>
    <t>Qут. = 0,00125*С*Vc*(Тп.м + Тоб.м. - 2*Тх.в.) * 10³</t>
  </si>
  <si>
    <t>Тх.в. = +5ºС</t>
  </si>
  <si>
    <t>Трубопровод после 1988 г.</t>
  </si>
  <si>
    <t>усл.диаметр</t>
  </si>
  <si>
    <t>нар.диаметр</t>
  </si>
  <si>
    <t>заполнение на 1 м трубы</t>
  </si>
  <si>
    <t>Нормативные значения среднегодовых потерь для участка сети определяются по формуле</t>
  </si>
  <si>
    <t xml:space="preserve">               Qн.год = β * L * qн * k2</t>
  </si>
  <si>
    <t xml:space="preserve">k2 - </t>
  </si>
  <si>
    <t>коэффициент при использовании изоляции пенополиуретаном (КТМ с.354)</t>
  </si>
  <si>
    <t>Перерасчет нормативных значений среднегодовых тепловых потерь Qн.год на их среднемесячные значения производится по формуле</t>
  </si>
  <si>
    <t xml:space="preserve"> Qн.мес = Qн.год *</t>
  </si>
  <si>
    <t>Тп.м +Тоб.м - 2*Тгр.м</t>
  </si>
  <si>
    <t>Тп.г +Тоб.г - 2*Тгр.г</t>
  </si>
  <si>
    <t xml:space="preserve">       Трубопровод до 1988 г.</t>
  </si>
  <si>
    <t>Для подсчета табличных значений qн разность средней температуры сетевой воды (теплоносителя ) и расчетной температуры грунта равна</t>
  </si>
  <si>
    <t>Тср.=(Тп.+Тоб.)/2  -  5</t>
  </si>
  <si>
    <t>ºС</t>
  </si>
  <si>
    <t xml:space="preserve"> разности температур 52,5 ºС и 65 ºС по каждому диаметру. Путем линейной интерполяции между табличными значениями удельных тепловых потерь </t>
  </si>
  <si>
    <t>разности температур 52,5 и 65 на разность среднегодовых температур воды и грунта определяем qн при Тср.</t>
  </si>
  <si>
    <t>Нормы тепловых потерь при разностях температур 52,5 и 65 для диаметров 25 и 46</t>
  </si>
  <si>
    <t>qн(65) - qн(52,5)</t>
  </si>
  <si>
    <t>* ((</t>
  </si>
  <si>
    <t>Тп.г +Тоб.г</t>
  </si>
  <si>
    <t xml:space="preserve">_ </t>
  </si>
  <si>
    <t>Тгр.г ) - 52,5 )</t>
  </si>
  <si>
    <t>ккал/м*ч</t>
  </si>
  <si>
    <t>находятся способом линейной интерполяции</t>
  </si>
  <si>
    <t xml:space="preserve">     65 - 52,5</t>
  </si>
  <si>
    <t>для д.46  -</t>
  </si>
  <si>
    <t xml:space="preserve">               Qн.год = β * L * qн</t>
  </si>
  <si>
    <t>для д.25</t>
  </si>
  <si>
    <t>год введения в эксплуатацию или замена трассы после 1988</t>
  </si>
  <si>
    <t>Наружный
диаметр
трубы,мм</t>
  </si>
  <si>
    <t>Протяженность,м</t>
  </si>
  <si>
    <t>Норма  тепловых 
потерь, Вт/м</t>
  </si>
  <si>
    <t>β</t>
  </si>
  <si>
    <t>k2</t>
  </si>
  <si>
    <t>Qн среднегодовые, ккал/ч</t>
  </si>
  <si>
    <t>Vc</t>
  </si>
  <si>
    <t>подающ.
трубопровод</t>
  </si>
  <si>
    <t>обратный
трубопровод</t>
  </si>
  <si>
    <t>подающий</t>
  </si>
  <si>
    <t>обратный</t>
  </si>
  <si>
    <t>Qн.мес, ккал/ч</t>
  </si>
  <si>
    <t>Qут.</t>
  </si>
  <si>
    <t>разность 52,5 ºС</t>
  </si>
  <si>
    <t>разность 65 ºС</t>
  </si>
  <si>
    <t>Котельная № 1</t>
  </si>
  <si>
    <t>№ 1</t>
  </si>
  <si>
    <t>непр.кан.</t>
  </si>
  <si>
    <t>изол.</t>
  </si>
  <si>
    <t>изол.(бескан.)</t>
  </si>
  <si>
    <t>Итого:</t>
  </si>
  <si>
    <t>в т.ч. изол.</t>
  </si>
  <si>
    <t>Котельная № 2</t>
  </si>
  <si>
    <t>№ 2</t>
  </si>
  <si>
    <t>непр. кан.</t>
  </si>
  <si>
    <t>Котельная № 3</t>
  </si>
  <si>
    <t>№ 3</t>
  </si>
  <si>
    <t>Котельная № 5</t>
  </si>
  <si>
    <t>№ 5</t>
  </si>
  <si>
    <t>пред.изол.</t>
  </si>
  <si>
    <t xml:space="preserve">                                                                                                  Котельная № 8</t>
  </si>
  <si>
    <t>№ 8</t>
  </si>
  <si>
    <t xml:space="preserve">                                                                                                  Котельная № 9</t>
  </si>
  <si>
    <t>№ 9</t>
  </si>
  <si>
    <t xml:space="preserve">  Котельная № 10</t>
  </si>
  <si>
    <t>№ 10</t>
  </si>
  <si>
    <t xml:space="preserve">  Котельная № 20</t>
  </si>
  <si>
    <t>№ 20</t>
  </si>
  <si>
    <t xml:space="preserve">                                                                                                  Котельная № 32</t>
  </si>
  <si>
    <t>№ 32</t>
  </si>
  <si>
    <t xml:space="preserve">                                                                                                  Котельная № 35</t>
  </si>
  <si>
    <t>№ 35</t>
  </si>
  <si>
    <t>№ 36</t>
  </si>
  <si>
    <t>№ 37</t>
  </si>
  <si>
    <t xml:space="preserve">   Котельная кв-л Молодежный</t>
  </si>
  <si>
    <t>Мини</t>
  </si>
  <si>
    <t>Всего</t>
  </si>
  <si>
    <t>ВСЕГО</t>
  </si>
  <si>
    <t>НВК (№35) пос.Светличное</t>
  </si>
  <si>
    <t>Школа №36 пос.Нижнее</t>
  </si>
  <si>
    <t>Поликлиника Тошковка</t>
  </si>
  <si>
    <t>Школа №23 пос.Тошковка</t>
  </si>
  <si>
    <t>ЗОШ №5 г.Золотое</t>
  </si>
  <si>
    <t>ЗОШ №4 г.Золотое</t>
  </si>
  <si>
    <t xml:space="preserve"> Школа №22 пос.Тошковка</t>
  </si>
  <si>
    <t>всього</t>
  </si>
  <si>
    <t>д/с Красная шапочка пос.Нижнее</t>
  </si>
  <si>
    <t>Поликлиника г.Золотое</t>
  </si>
  <si>
    <t>qн (43,0)=qн(52,5)+</t>
  </si>
  <si>
    <t>виробництво</t>
  </si>
  <si>
    <t>Всього</t>
  </si>
  <si>
    <t>Котельня № 36</t>
  </si>
  <si>
    <t>Котельня № 37</t>
  </si>
  <si>
    <t>Школа мистецтв м.Гірське</t>
  </si>
  <si>
    <t>Ел.енергія на відпуск</t>
  </si>
  <si>
    <t>Втрати в тепломережі</t>
  </si>
  <si>
    <t>Ю.М.Бовт</t>
  </si>
  <si>
    <t>N       з/п</t>
  </si>
  <si>
    <t>Котельня</t>
  </si>
  <si>
    <t>Тип котла</t>
  </si>
  <si>
    <t>Термін експлуатації, років</t>
  </si>
  <si>
    <t>Потужність котла Гкал/г</t>
  </si>
  <si>
    <t>ВУП вир
 за нормою кг.у.п./ Гкал</t>
  </si>
  <si>
    <t xml:space="preserve">К.К.Д. котла     бр., % </t>
  </si>
  <si>
    <t>К.К.Д.       котельної брутто,     середній,     %</t>
  </si>
  <si>
    <t>ВУП на відпуск за нормою, кг.у.п./ Гкал</t>
  </si>
  <si>
    <t>Відпуск теплової енергії по котельній, Гкал</t>
  </si>
  <si>
    <t>Витрата умовного палива
на відпущену теплову енергію, кг.у.п.</t>
  </si>
  <si>
    <t>Вироблення теплової енергії по котельній, Гкал</t>
  </si>
  <si>
    <t>Витрата умовного палива
на вироблену теплову енергію, кг.у.п.</t>
  </si>
  <si>
    <t>НР-18</t>
  </si>
  <si>
    <t>ТВГ-8М</t>
  </si>
  <si>
    <t>Котельня №36</t>
  </si>
  <si>
    <t xml:space="preserve">                 Всього по підприємству </t>
  </si>
  <si>
    <t>Начальник ВТВ</t>
  </si>
  <si>
    <t>Г.І. Коваленкова</t>
  </si>
  <si>
    <t>Тср.=(Тп.+Тоб.)/2  - 7,0  =  ( 53,0+43,4)/2  - 7,0 =</t>
  </si>
  <si>
    <t>АОГВ-50</t>
  </si>
  <si>
    <r>
      <t xml:space="preserve">                                                                  </t>
    </r>
    <r>
      <rPr>
        <b/>
        <sz val="12"/>
        <rFont val="Times New Roman"/>
        <family val="1"/>
        <charset val="204"/>
      </rPr>
      <t>РОЗРАХУНОК
                             норм питомих витрат паливно-енергетичних ресурсів
                                 для котелень  КП "Первомайськтеплокомуненерго"</t>
    </r>
    <r>
      <rPr>
        <sz val="12"/>
        <rFont val="Times New Roman"/>
        <family val="1"/>
        <charset val="204"/>
      </rPr>
      <t xml:space="preserve">  </t>
    </r>
    <r>
      <rPr>
        <sz val="10"/>
        <rFont val="Times New Roman"/>
        <family val="1"/>
        <charset val="204"/>
      </rPr>
      <t xml:space="preserve">
        Розрахунок ведеться згідно «Міжгалузевих норм витрат палива для опалювальних котлів, які експлуатуються в Україні» затверджених наказом Держкоменергозбереження та вказівок по нормуванню витрат палива та теплової енергії на опалення житлових та громадських споруд, а також на господарсько-побутові потреби в Україні» 
        Індивідуальна норма затрат палива визначається для кожного котла, встановленого в котельній за формулою  
                   Вк = Вк0  *   к,
    де Вк0 – нормативна паспортна витрата палива для кожного котла при номінальному навантаженні.
          к – нормативний коефіцієнт, який враховує можливе відхилення індивідуальної норми витрат палива від Вк0
                    к = к1 * к2 * к3
          к1 – нормативний коефіцієнт, який враховує режим роботи котла.
          к2 – нормативний коефіцієнт, який враховує наявність або відсутність  хвостових  поверхней нагріву.
          к3 – нормативний коефіцієнт, який враховує період роботи котла від момента встановлення або останнього  
                 капітального ремонта
</t>
    </r>
  </si>
  <si>
    <t>Міні-котельня поліклініка сел.Тошківка</t>
  </si>
  <si>
    <t>Міні-котельня Тошківська рада</t>
  </si>
  <si>
    <t>постачання</t>
  </si>
  <si>
    <t>податок на прибуток</t>
  </si>
  <si>
    <t>Одиниця виміру</t>
  </si>
  <si>
    <t>х</t>
  </si>
  <si>
    <r>
      <t xml:space="preserve">По таблицам 3-5  РД 34.09.255-97 для каждого диаметра определим </t>
    </r>
    <r>
      <rPr>
        <b/>
        <sz val="12"/>
        <color indexed="10"/>
        <rFont val="Times New Roman"/>
        <family val="1"/>
        <charset val="204"/>
      </rPr>
      <t>qн</t>
    </r>
  </si>
  <si>
    <r>
      <t xml:space="preserve">По таблице 7.6 (с.331) Справочника "Наладка и эксплуатация водяных тепловых сетей" В.И.Манюк и др. (таблица 1 РД 34.09.255-97) находим </t>
    </r>
    <r>
      <rPr>
        <b/>
        <sz val="16"/>
        <color indexed="10"/>
        <rFont val="Times New Roman"/>
        <family val="1"/>
        <charset val="204"/>
      </rPr>
      <t>q</t>
    </r>
    <r>
      <rPr>
        <b/>
        <sz val="12"/>
        <color indexed="10"/>
        <rFont val="Times New Roman"/>
        <family val="1"/>
        <charset val="204"/>
      </rPr>
      <t>н</t>
    </r>
    <r>
      <rPr>
        <sz val="12"/>
        <color indexed="10"/>
        <rFont val="Times New Roman"/>
        <family val="1"/>
        <charset val="204"/>
      </rPr>
      <t xml:space="preserve"> при </t>
    </r>
  </si>
  <si>
    <r>
      <t>q</t>
    </r>
    <r>
      <rPr>
        <b/>
        <sz val="12"/>
        <color indexed="10"/>
        <rFont val="Times New Roman"/>
        <family val="1"/>
        <charset val="204"/>
      </rPr>
      <t>н</t>
    </r>
  </si>
  <si>
    <r>
      <t xml:space="preserve">По таблицам 3-5  РД 34.09.255-97 для каждого диаметра определим </t>
    </r>
    <r>
      <rPr>
        <b/>
        <sz val="12"/>
        <color indexed="10"/>
        <rFont val="Times New Roman"/>
        <family val="1"/>
        <charset val="204"/>
      </rPr>
      <t>qн</t>
    </r>
  </si>
  <si>
    <r>
      <t xml:space="preserve">По таблице 7.6 (с.331) Справочника "Наладка и эксплуатация водяных тепловых сетей" В.И.Манюк и др. (таблица 1 РД 34.09.255-97) находим </t>
    </r>
    <r>
      <rPr>
        <b/>
        <sz val="16"/>
        <color indexed="10"/>
        <rFont val="Times New Roman"/>
        <family val="1"/>
        <charset val="204"/>
      </rPr>
      <t>q</t>
    </r>
    <r>
      <rPr>
        <b/>
        <sz val="12"/>
        <color indexed="10"/>
        <rFont val="Times New Roman"/>
        <family val="1"/>
        <charset val="204"/>
      </rPr>
      <t>н</t>
    </r>
    <r>
      <rPr>
        <sz val="12"/>
        <color indexed="10"/>
        <rFont val="Times New Roman"/>
        <family val="1"/>
        <charset val="204"/>
      </rPr>
      <t xml:space="preserve"> при </t>
    </r>
  </si>
  <si>
    <r>
      <t>q</t>
    </r>
    <r>
      <rPr>
        <b/>
        <sz val="12"/>
        <color indexed="10"/>
        <rFont val="Times New Roman"/>
        <family val="1"/>
        <charset val="204"/>
      </rPr>
      <t>н</t>
    </r>
  </si>
  <si>
    <t>рік встановлення котла</t>
  </si>
  <si>
    <t>термін експлуатації</t>
  </si>
  <si>
    <t>нормативна витрата                                        кг у.п./Гкал</t>
  </si>
  <si>
    <t>умовна витрата палива                                                              кг у.п./Гкал</t>
  </si>
  <si>
    <t>номінальна теплопродуктивність котла, Гкал/год</t>
  </si>
  <si>
    <t>за результатами випробувань</t>
  </si>
  <si>
    <r>
      <t>(Ƞ</t>
    </r>
    <r>
      <rPr>
        <vertAlign val="superscript"/>
        <sz val="10"/>
        <rFont val="Times New Roman"/>
        <family val="1"/>
        <charset val="204"/>
      </rPr>
      <t>бр</t>
    </r>
    <r>
      <rPr>
        <vertAlign val="subscript"/>
        <sz val="10"/>
        <rFont val="Times New Roman"/>
        <family val="1"/>
        <charset val="204"/>
      </rPr>
      <t xml:space="preserve"> кот</t>
    </r>
    <r>
      <rPr>
        <sz val="10"/>
        <rFont val="Times New Roman"/>
        <family val="1"/>
        <charset val="204"/>
      </rPr>
      <t>)ср.</t>
    </r>
  </si>
  <si>
    <t>МІНІКОТЕЛЬНІ</t>
  </si>
  <si>
    <t>Амбулаторія ЗПСМ сел.Тошківка</t>
  </si>
  <si>
    <t>Амбулаторія ЗПСМ м.Золоте</t>
  </si>
  <si>
    <t>Адреса</t>
  </si>
  <si>
    <t>ПОГОДЖЕНО:</t>
  </si>
  <si>
    <t>ЗАТВЕРДЖЕНО:</t>
  </si>
  <si>
    <t xml:space="preserve">Голова Луганської обласної державної адміністрації - керівник обласної військово-цивільної адміністрації
</t>
  </si>
  <si>
    <t>Начальник комунального підприємства "Первомайськтеплокомуненерго" Первомайської міської ради</t>
  </si>
  <si>
    <t>___________________________________</t>
  </si>
  <si>
    <t>С.В.Гайдай</t>
  </si>
  <si>
    <t>___________________ Р.В.Алісов</t>
  </si>
  <si>
    <t>"___" ________________ 2020 р.</t>
  </si>
  <si>
    <t>"____" ________________ 2020 р.</t>
  </si>
  <si>
    <t>Загальновиробничі норми питомих витрат палива, теплової та електричної енергії на 2020 рік на                                                                                                                                 комунальному підприємстві "Первомайськтеплокомуненерго" Первомайської міської ради</t>
  </si>
  <si>
    <t>Продукція, роботи, послуги                                            (за формою 11-МТП)</t>
  </si>
  <si>
    <t>Обсяги виробництва продукції (за роками)</t>
  </si>
  <si>
    <t>Паливо (кг.у.п./од.продукції)</t>
  </si>
  <si>
    <t>Теплова енергія (Мкал/од.продукції) та втрати (%)</t>
  </si>
  <si>
    <t>Електроенергія                         (кВт·год/од. продукції)</t>
  </si>
  <si>
    <t>код</t>
  </si>
  <si>
    <t>Теплоенергія, вироблена і відпущена котельними</t>
  </si>
  <si>
    <t>Втрати теплоенергії  в теплових мережах</t>
  </si>
  <si>
    <t>Інше виробниче споживання</t>
  </si>
  <si>
    <t>1.Норми розроблено відповідно до таких галузевих (регіональних) методик нормування:</t>
  </si>
  <si>
    <t>1.1. Норми та вказівки по нормуванню витрат палива та теплової енергії на опалення житлових та громадських споруд, а також на господарсько – побутові потреби в Україні КТМ 204 України 244-94.</t>
  </si>
  <si>
    <t>1.2. Міжгалузеві норми витрат палива для опалювальних котлів, що експлуатуються в Україні, затверджені наказом Державного комітету України з енергозбереження № 46 від 07.05.2001р.</t>
  </si>
  <si>
    <t>1.3. Наказ Державного комітету України з енергозбереження №112 від 22.10.2002р. «Про затвердження Основних положень з нормування питомих витрат паливно-енергетичних ресурсів у суспільному виробництві».</t>
  </si>
  <si>
    <t xml:space="preserve">2. План організаційно-технічних заходів, спрямованих на підвищення ефективності використання паливно-енергетичних ресурсів, </t>
  </si>
  <si>
    <t>затверджений наказом підприємства від 09.01.2020р. N 11.</t>
  </si>
  <si>
    <t>Головний інженер КП "Первомайськтеплокомуненерго"</t>
  </si>
  <si>
    <t>ПЕРЕВІРЕНО:</t>
  </si>
  <si>
    <t>Директор департаменту ЖКГ</t>
  </si>
  <si>
    <t>Луганської обласної</t>
  </si>
  <si>
    <r>
      <t>державної адміністрації                                 _____________________</t>
    </r>
    <r>
      <rPr>
        <b/>
        <sz val="12"/>
        <rFont val="Times New Roman"/>
        <family val="1"/>
        <charset val="204"/>
      </rPr>
      <t xml:space="preserve">  В.А.Сурай</t>
    </r>
  </si>
  <si>
    <t xml:space="preserve">Мінікотельня м. Гірське </t>
  </si>
  <si>
    <t>Мінікотельня м.Золоте</t>
  </si>
  <si>
    <t>Мінікотельня смт. Тошківка</t>
  </si>
  <si>
    <t>АОГВ - 96 Росс</t>
  </si>
  <si>
    <t xml:space="preserve"> КТН-30СР</t>
  </si>
  <si>
    <t>АОГВ-96</t>
  </si>
  <si>
    <t xml:space="preserve">Головний інженер                                                                                              </t>
  </si>
  <si>
    <t xml:space="preserve"> відпуск по підприємству</t>
  </si>
  <si>
    <t xml:space="preserve"> виробл. по підприємству</t>
  </si>
  <si>
    <t>тис. грн</t>
  </si>
  <si>
    <t>Ю.М. Бовт</t>
  </si>
  <si>
    <t>Виробництво</t>
  </si>
  <si>
    <t>Транспортування</t>
  </si>
  <si>
    <t>Головний інженер</t>
  </si>
  <si>
    <t>КСВа - 3,9Г</t>
  </si>
  <si>
    <t>КСВа-1,0Г</t>
  </si>
  <si>
    <t xml:space="preserve"> Розрахунок питомих витрат палива по котельним  комунального підприємства"Первомайськтеплокомуненерго" Первомайської міської ради на 2020 рік</t>
  </si>
  <si>
    <t>Рік встановлення/Рік кап.ремонту</t>
  </si>
  <si>
    <t>рік встановлення котла /рік кап.ремонта</t>
  </si>
  <si>
    <t>1977/2011</t>
  </si>
  <si>
    <t>термін експлуатації після кап ремонту</t>
  </si>
  <si>
    <t>1977/2012</t>
  </si>
  <si>
    <t>1996/2012</t>
  </si>
  <si>
    <t>1999/2012</t>
  </si>
  <si>
    <t>1999/2002</t>
  </si>
  <si>
    <t>КСВа - 1,0Гн</t>
  </si>
  <si>
    <t>1995 / 2018</t>
  </si>
  <si>
    <t>1975/2017</t>
  </si>
  <si>
    <t>1999/2017</t>
  </si>
  <si>
    <t>КТН 30 СР</t>
  </si>
  <si>
    <t xml:space="preserve">АОГВ-50 </t>
  </si>
  <si>
    <t xml:space="preserve">АОГВ-96 </t>
  </si>
  <si>
    <t xml:space="preserve">Всього </t>
  </si>
  <si>
    <t>прямі матеріальні витрати, зокрема:</t>
  </si>
  <si>
    <t>паливо</t>
  </si>
  <si>
    <t>електроенергія</t>
  </si>
  <si>
    <t>покупна теплова енергія*</t>
  </si>
  <si>
    <t>вода для технологічних потреб та водовідведення</t>
  </si>
  <si>
    <t>інші прямі витрати, зокрема:</t>
  </si>
  <si>
    <t>амортизаційні відрахування</t>
  </si>
  <si>
    <t>інші прямі витрати</t>
  </si>
  <si>
    <t>загальновиробничі витрати, зокрема:</t>
  </si>
  <si>
    <t>витрати на оплату праці</t>
  </si>
  <si>
    <t xml:space="preserve">інші витрати </t>
  </si>
  <si>
    <t>інші витрати</t>
  </si>
  <si>
    <t>Витрати на збут, зокрема:</t>
  </si>
  <si>
    <t>Інші операційні витрати**</t>
  </si>
  <si>
    <t>Фінансові витрати</t>
  </si>
  <si>
    <t>Повна собівартість**</t>
  </si>
  <si>
    <t>Витрати на відшкодування втрат</t>
  </si>
  <si>
    <t>Розрахунковий прибуток, усього**, зокрема:</t>
  </si>
  <si>
    <t>дивіденди</t>
  </si>
  <si>
    <t>резервний фонд (капітал)</t>
  </si>
  <si>
    <t>інше використання прибутку</t>
  </si>
  <si>
    <t>Вартість виробництва теплової енергії за відповідними тарифами</t>
  </si>
  <si>
    <t>Реалізація теплової енергії власним споживачам</t>
  </si>
  <si>
    <t>матеріали, запасні частини та інші матеріальні ресурси</t>
  </si>
  <si>
    <t>Найменування статті витрат</t>
  </si>
  <si>
    <t>прямі витрати на оплату праці</t>
  </si>
  <si>
    <t>відрахування на соціальні заходи</t>
  </si>
  <si>
    <t>транспортування</t>
  </si>
  <si>
    <t xml:space="preserve">у т.ч. </t>
  </si>
  <si>
    <t>Територіальна громада м. Гірське</t>
  </si>
  <si>
    <t>Територіальна громада м. Золоте</t>
  </si>
  <si>
    <t>Територіальна громада смт. Тошківка</t>
  </si>
  <si>
    <t>Підстава</t>
  </si>
  <si>
    <t>Виробнича собівартість</t>
  </si>
  <si>
    <t>Витрати всього по підприємству</t>
  </si>
  <si>
    <t xml:space="preserve"> № п/п</t>
  </si>
  <si>
    <t>№ котельной</t>
  </si>
  <si>
    <t>Розрахунок витрат на тимчасове платне корисстування інженерними спорудами для розміщення кабельних ліній на період з жовтня 2020 по вересень 2021р</t>
  </si>
  <si>
    <t>Загальна площа приміщень, кв. м.</t>
  </si>
  <si>
    <t>КЛ-0,4 кВ від ТП-551</t>
  </si>
  <si>
    <t>м. Гірське вул. Гагаріна</t>
  </si>
  <si>
    <t>Договір №23-46-2020 від 22.10.2019р з  ТОВ "ЛЕО"</t>
  </si>
  <si>
    <t>КЛ-0,4 кВ від РП-23</t>
  </si>
  <si>
    <t>м. Золоте вул. Молодіжна</t>
  </si>
  <si>
    <t>КЛ-0,4 кВ від ТП-553</t>
  </si>
  <si>
    <t>м. Гірське вул. Дружби</t>
  </si>
  <si>
    <t>КЛ-0,4 кВ від ТП-572</t>
  </si>
  <si>
    <t>м. Гірське вул.Чернишевського</t>
  </si>
  <si>
    <t>Місячна орендна плата, грн</t>
  </si>
  <si>
    <t>тис грн</t>
  </si>
  <si>
    <t>Постачання</t>
  </si>
  <si>
    <t>Ед.имз</t>
  </si>
  <si>
    <t>Прямі витрати, зокрема:</t>
  </si>
  <si>
    <t>Адміністративні  витрати, зокрема:</t>
  </si>
  <si>
    <t xml:space="preserve">тариф </t>
  </si>
  <si>
    <t>грн/ Гкал</t>
  </si>
  <si>
    <t>на розвиток виробництва(виробничі інвестиції)</t>
  </si>
  <si>
    <t>середньозважені показники</t>
  </si>
  <si>
    <t>Андрій ТЕМЕРБЕК</t>
  </si>
  <si>
    <t xml:space="preserve">Директор </t>
  </si>
  <si>
    <t>Структура тарифу на виробництво, транспортування та постачання теплової енергії,  послуги з постачання теплової енергії</t>
  </si>
  <si>
    <t>Продовження додатку</t>
  </si>
  <si>
    <t>Керуючий справами виконавчого комітету</t>
  </si>
  <si>
    <t>Інна КУРИЛО</t>
  </si>
  <si>
    <t xml:space="preserve">Заступник міського голови з питань
діяльності виконавчих органів ради </t>
  </si>
  <si>
    <t>Ганна БУЗОВА</t>
  </si>
  <si>
    <t>ПП "Укртеплоснаб"</t>
  </si>
  <si>
    <t>Структуру тарифіву на виробництво, транспортування , постачання теплової енергії,  послуги з постачання теплової енергії підготовлено приватним підприємством "Укртеплоснаб"</t>
  </si>
  <si>
    <t xml:space="preserve">Додаток
рішення виконавчого комітету Дружківської міської ради
від 09.02.2022 № 64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</si>
</sst>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г_р_н_._-;\-* #,##0.00\ _г_р_н_._-;_-* &quot;-&quot;??\ _г_р_н_._-;_-@_-"/>
    <numFmt numFmtId="165" formatCode="0.000"/>
    <numFmt numFmtId="166" formatCode="0.0"/>
    <numFmt numFmtId="167" formatCode="0.000000"/>
    <numFmt numFmtId="168" formatCode="#,##0.000"/>
    <numFmt numFmtId="169" formatCode="_(* #,##0.00_);_(* \(#,##0.00\);_(* &quot;-&quot;??_);_(@_)"/>
  </numFmts>
  <fonts count="62" x14ac:knownFonts="1">
    <font>
      <sz val="10"/>
      <name val="Arial Cyr"/>
      <charset val="204"/>
    </font>
    <font>
      <u/>
      <sz val="10"/>
      <color indexed="12"/>
      <name val="Arial Cyr"/>
      <charset val="204"/>
    </font>
    <font>
      <sz val="8"/>
      <name val="Arial Cyr"/>
      <charset val="204"/>
    </font>
    <font>
      <b/>
      <sz val="10"/>
      <name val="Arial Cy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sz val="12"/>
      <name val="Arial Cyr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vertAlign val="subscript"/>
      <sz val="10"/>
      <name val="Times New Roman"/>
      <family val="1"/>
      <charset val="204"/>
    </font>
    <font>
      <vertAlign val="subscript"/>
      <sz val="12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b/>
      <sz val="10"/>
      <color indexed="16"/>
      <name val="Times New Roman"/>
      <family val="1"/>
      <charset val="204"/>
    </font>
    <font>
      <sz val="8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 Cyr"/>
    </font>
    <font>
      <sz val="10"/>
      <name val="Arial"/>
      <family val="2"/>
      <charset val="204"/>
    </font>
    <font>
      <b/>
      <sz val="10"/>
      <color indexed="61"/>
      <name val="Times New Roman"/>
      <family val="1"/>
      <charset val="204"/>
    </font>
    <font>
      <sz val="10"/>
      <color indexed="61"/>
      <name val="Times New Roman"/>
      <family val="1"/>
      <charset val="204"/>
    </font>
    <font>
      <b/>
      <sz val="16"/>
      <name val="Times New Roman"/>
      <family val="1"/>
      <charset val="204"/>
    </font>
    <font>
      <b/>
      <u/>
      <sz val="12"/>
      <name val="Times New Roman"/>
      <family val="1"/>
      <charset val="204"/>
    </font>
    <font>
      <b/>
      <u/>
      <sz val="11"/>
      <name val="Times New Roman"/>
      <family val="1"/>
      <charset val="204"/>
    </font>
    <font>
      <sz val="13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b/>
      <sz val="16"/>
      <color indexed="10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sz val="12"/>
      <name val="Times New Roman"/>
      <family val="1"/>
    </font>
    <font>
      <sz val="10"/>
      <name val="Arial Cyr"/>
      <family val="2"/>
      <charset val="204"/>
    </font>
    <font>
      <b/>
      <sz val="12"/>
      <name val="Times New Roman"/>
      <family val="1"/>
    </font>
    <font>
      <strike/>
      <sz val="10"/>
      <name val="Arial Cyr"/>
      <family val="2"/>
      <charset val="204"/>
    </font>
    <font>
      <sz val="10"/>
      <name val="Times New Roman"/>
      <family val="1"/>
    </font>
    <font>
      <sz val="8"/>
      <name val="Arial Cyr"/>
      <family val="2"/>
      <charset val="204"/>
    </font>
    <font>
      <sz val="9"/>
      <name val="Arial Cyr"/>
      <family val="2"/>
      <charset val="204"/>
    </font>
    <font>
      <b/>
      <i/>
      <sz val="12"/>
      <color indexed="10"/>
      <name val="Times New Roman"/>
      <family val="1"/>
      <charset val="204"/>
    </font>
    <font>
      <sz val="10"/>
      <name val="Arial"/>
      <family val="2"/>
    </font>
    <font>
      <b/>
      <i/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6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u/>
      <sz val="12"/>
      <color rgb="FFFF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b/>
      <u/>
      <sz val="11"/>
      <color rgb="FFFF0000"/>
      <name val="Times New Roman"/>
      <family val="1"/>
      <charset val="204"/>
    </font>
    <font>
      <b/>
      <i/>
      <sz val="12"/>
      <color rgb="FFFF0000"/>
      <name val="Times New Roman"/>
      <family val="1"/>
      <charset val="204"/>
    </font>
    <font>
      <sz val="10"/>
      <color rgb="FFFF0000"/>
      <name val="Arial Cyr"/>
      <charset val="204"/>
    </font>
    <font>
      <sz val="12"/>
      <color rgb="FF000000"/>
      <name val="Times New Roman"/>
      <family val="1"/>
      <charset val="204"/>
    </font>
    <font>
      <sz val="10"/>
      <color rgb="FFFF0000"/>
      <name val="Arial Cyr"/>
      <family val="2"/>
      <charset val="204"/>
    </font>
    <font>
      <b/>
      <i/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3"/>
      <color rgb="FFFF0000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3">
    <xf numFmtId="0" fontId="0" fillId="0" borderId="0"/>
    <xf numFmtId="164" fontId="20" fillId="0" borderId="0" applyFont="0" applyFill="0" applyBorder="0" applyAlignment="0" applyProtection="0"/>
    <xf numFmtId="0" fontId="1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21" fillId="0" borderId="0"/>
    <xf numFmtId="0" fontId="21" fillId="0" borderId="0"/>
    <xf numFmtId="0" fontId="43" fillId="0" borderId="0"/>
    <xf numFmtId="0" fontId="41" fillId="0" borderId="0"/>
    <xf numFmtId="0" fontId="9" fillId="0" borderId="0"/>
    <xf numFmtId="0" fontId="34" fillId="0" borderId="0"/>
    <xf numFmtId="0" fontId="34" fillId="0" borderId="0"/>
    <xf numFmtId="169" fontId="21" fillId="0" borderId="0" applyFont="0" applyFill="0" applyBorder="0" applyAlignment="0" applyProtection="0"/>
    <xf numFmtId="164" fontId="9" fillId="0" borderId="0" applyFont="0" applyFill="0" applyBorder="0" applyAlignment="0" applyProtection="0"/>
  </cellStyleXfs>
  <cellXfs count="593">
    <xf numFmtId="0" fontId="0" fillId="0" borderId="0" xfId="0"/>
    <xf numFmtId="0" fontId="4" fillId="0" borderId="0" xfId="0" applyFont="1"/>
    <xf numFmtId="0" fontId="4" fillId="0" borderId="0" xfId="0" applyFont="1" applyFill="1"/>
    <xf numFmtId="0" fontId="6" fillId="0" borderId="0" xfId="0" applyFont="1" applyFill="1"/>
    <xf numFmtId="0" fontId="8" fillId="0" borderId="0" xfId="0" applyFont="1"/>
    <xf numFmtId="0" fontId="8" fillId="0" borderId="1" xfId="0" applyFont="1" applyFill="1" applyBorder="1"/>
    <xf numFmtId="0" fontId="0" fillId="0" borderId="1" xfId="0" applyBorder="1" applyAlignment="1">
      <alignment horizontal="center" vertical="center"/>
    </xf>
    <xf numFmtId="0" fontId="3" fillId="2" borderId="1" xfId="0" applyFont="1" applyFill="1" applyBorder="1" applyAlignment="1">
      <alignment wrapText="1"/>
    </xf>
    <xf numFmtId="0" fontId="3" fillId="0" borderId="1" xfId="0" applyFont="1" applyFill="1" applyBorder="1" applyAlignment="1">
      <alignment wrapText="1"/>
    </xf>
    <xf numFmtId="0" fontId="4" fillId="0" borderId="0" xfId="0" applyFont="1" applyAlignment="1">
      <alignment wrapText="1"/>
    </xf>
    <xf numFmtId="0" fontId="7" fillId="3" borderId="0" xfId="0" applyFont="1" applyFill="1"/>
    <xf numFmtId="0" fontId="12" fillId="3" borderId="0" xfId="0" applyFont="1" applyFill="1"/>
    <xf numFmtId="0" fontId="12" fillId="0" borderId="0" xfId="0" applyFont="1"/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/>
    <xf numFmtId="0" fontId="4" fillId="0" borderId="0" xfId="0" applyFont="1" applyAlignment="1">
      <alignment horizontal="center" vertical="center"/>
    </xf>
    <xf numFmtId="1" fontId="4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left"/>
    </xf>
    <xf numFmtId="2" fontId="4" fillId="0" borderId="0" xfId="0" applyNumberFormat="1" applyFont="1" applyAlignment="1">
      <alignment horizontal="left"/>
    </xf>
    <xf numFmtId="2" fontId="4" fillId="0" borderId="0" xfId="0" applyNumberFormat="1" applyFont="1"/>
    <xf numFmtId="0" fontId="4" fillId="0" borderId="0" xfId="0" applyFont="1" applyAlignment="1">
      <alignment horizontal="left"/>
    </xf>
    <xf numFmtId="0" fontId="8" fillId="0" borderId="0" xfId="0" applyFont="1" applyAlignment="1">
      <alignment horizontal="right"/>
    </xf>
    <xf numFmtId="0" fontId="12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2" fontId="4" fillId="0" borderId="0" xfId="0" applyNumberFormat="1" applyFont="1" applyAlignment="1">
      <alignment horizontal="center" vertical="center"/>
    </xf>
    <xf numFmtId="0" fontId="17" fillId="0" borderId="0" xfId="0" applyFont="1" applyAlignment="1">
      <alignment horizontal="left"/>
    </xf>
    <xf numFmtId="0" fontId="4" fillId="0" borderId="0" xfId="0" applyFont="1" applyAlignment="1">
      <alignment vertical="center"/>
    </xf>
    <xf numFmtId="1" fontId="4" fillId="0" borderId="0" xfId="0" applyNumberFormat="1" applyFont="1" applyAlignment="1"/>
    <xf numFmtId="0" fontId="4" fillId="0" borderId="0" xfId="0" applyFont="1" applyFill="1" applyAlignment="1"/>
    <xf numFmtId="0" fontId="4" fillId="0" borderId="0" xfId="0" applyFont="1" applyFill="1" applyAlignment="1">
      <alignment horizontal="center"/>
    </xf>
    <xf numFmtId="0" fontId="8" fillId="0" borderId="0" xfId="0" applyFont="1" applyFill="1" applyAlignment="1">
      <alignment horizontal="right"/>
    </xf>
    <xf numFmtId="2" fontId="4" fillId="0" borderId="0" xfId="0" applyNumberFormat="1" applyFont="1" applyFill="1" applyAlignment="1">
      <alignment horizontal="center"/>
    </xf>
    <xf numFmtId="0" fontId="4" fillId="0" borderId="0" xfId="0" applyFont="1" applyFill="1" applyAlignment="1">
      <alignment horizontal="left"/>
    </xf>
    <xf numFmtId="0" fontId="12" fillId="0" borderId="0" xfId="0" applyFont="1" applyFill="1"/>
    <xf numFmtId="0" fontId="4" fillId="0" borderId="1" xfId="0" applyFont="1" applyFill="1" applyBorder="1"/>
    <xf numFmtId="0" fontId="4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/>
    </xf>
    <xf numFmtId="0" fontId="4" fillId="0" borderId="0" xfId="0" applyFont="1" applyFill="1" applyAlignment="1">
      <alignment wrapText="1"/>
    </xf>
    <xf numFmtId="0" fontId="4" fillId="0" borderId="0" xfId="0" applyFont="1" applyFill="1" applyBorder="1"/>
    <xf numFmtId="0" fontId="4" fillId="0" borderId="0" xfId="0" applyFont="1" applyFill="1" applyBorder="1" applyAlignment="1">
      <alignment horizontal="center"/>
    </xf>
    <xf numFmtId="0" fontId="12" fillId="0" borderId="0" xfId="0" applyFont="1" applyFill="1" applyAlignment="1">
      <alignment horizontal="left"/>
    </xf>
    <xf numFmtId="0" fontId="4" fillId="0" borderId="0" xfId="0" applyFont="1" applyFill="1" applyAlignment="1">
      <alignment vertical="center"/>
    </xf>
    <xf numFmtId="1" fontId="4" fillId="0" borderId="0" xfId="0" applyNumberFormat="1" applyFont="1" applyFill="1" applyAlignment="1"/>
    <xf numFmtId="2" fontId="4" fillId="0" borderId="0" xfId="0" applyNumberFormat="1" applyFont="1" applyFill="1" applyAlignment="1">
      <alignment horizontal="left"/>
    </xf>
    <xf numFmtId="2" fontId="4" fillId="0" borderId="0" xfId="0" applyNumberFormat="1" applyFont="1" applyFill="1"/>
    <xf numFmtId="0" fontId="4" fillId="0" borderId="0" xfId="0" applyFont="1" applyFill="1" applyBorder="1" applyAlignment="1"/>
    <xf numFmtId="0" fontId="12" fillId="0" borderId="1" xfId="0" applyFont="1" applyFill="1" applyBorder="1"/>
    <xf numFmtId="0" fontId="12" fillId="0" borderId="1" xfId="0" applyFont="1" applyFill="1" applyBorder="1" applyAlignment="1">
      <alignment wrapText="1"/>
    </xf>
    <xf numFmtId="0" fontId="12" fillId="0" borderId="1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center" wrapText="1"/>
    </xf>
    <xf numFmtId="0" fontId="4" fillId="0" borderId="0" xfId="0" applyFont="1" applyFill="1" applyAlignment="1">
      <alignment horizontal="center" vertical="center"/>
    </xf>
    <xf numFmtId="2" fontId="4" fillId="0" borderId="0" xfId="0" applyNumberFormat="1" applyFont="1" applyFill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5" fillId="0" borderId="0" xfId="0" applyFont="1" applyAlignment="1"/>
    <xf numFmtId="0" fontId="0" fillId="0" borderId="0" xfId="0" applyFont="1"/>
    <xf numFmtId="0" fontId="5" fillId="0" borderId="0" xfId="0" applyFont="1"/>
    <xf numFmtId="0" fontId="18" fillId="0" borderId="0" xfId="0" applyFont="1"/>
    <xf numFmtId="0" fontId="4" fillId="2" borderId="0" xfId="0" applyFont="1" applyFill="1"/>
    <xf numFmtId="2" fontId="4" fillId="2" borderId="1" xfId="0" applyNumberFormat="1" applyFont="1" applyFill="1" applyBorder="1"/>
    <xf numFmtId="2" fontId="12" fillId="2" borderId="1" xfId="0" applyNumberFormat="1" applyFont="1" applyFill="1" applyBorder="1"/>
    <xf numFmtId="0" fontId="8" fillId="0" borderId="0" xfId="0" applyFont="1" applyBorder="1" applyAlignment="1">
      <alignment horizontal="center"/>
    </xf>
    <xf numFmtId="0" fontId="11" fillId="2" borderId="0" xfId="0" applyFont="1" applyFill="1" applyBorder="1"/>
    <xf numFmtId="0" fontId="6" fillId="2" borderId="0" xfId="0" applyFont="1" applyFill="1" applyBorder="1"/>
    <xf numFmtId="0" fontId="8" fillId="2" borderId="0" xfId="0" applyFont="1" applyFill="1"/>
    <xf numFmtId="0" fontId="7" fillId="2" borderId="1" xfId="0" applyFont="1" applyFill="1" applyBorder="1" applyAlignment="1">
      <alignment horizontal="right"/>
    </xf>
    <xf numFmtId="0" fontId="6" fillId="2" borderId="0" xfId="0" applyFont="1" applyFill="1" applyAlignment="1">
      <alignment horizontal="center" vertical="center"/>
    </xf>
    <xf numFmtId="0" fontId="6" fillId="2" borderId="2" xfId="0" applyFont="1" applyFill="1" applyBorder="1"/>
    <xf numFmtId="0" fontId="12" fillId="2" borderId="1" xfId="0" applyFont="1" applyFill="1" applyBorder="1" applyAlignment="1">
      <alignment wrapText="1"/>
    </xf>
    <xf numFmtId="167" fontId="12" fillId="2" borderId="1" xfId="0" applyNumberFormat="1" applyFont="1" applyFill="1" applyBorder="1"/>
    <xf numFmtId="0" fontId="22" fillId="2" borderId="1" xfId="0" applyFont="1" applyFill="1" applyBorder="1" applyAlignment="1">
      <alignment wrapText="1"/>
    </xf>
    <xf numFmtId="0" fontId="23" fillId="2" borderId="1" xfId="0" applyFont="1" applyFill="1" applyBorder="1"/>
    <xf numFmtId="2" fontId="22" fillId="2" borderId="1" xfId="0" applyNumberFormat="1" applyFont="1" applyFill="1" applyBorder="1"/>
    <xf numFmtId="0" fontId="4" fillId="2" borderId="1" xfId="0" applyFont="1" applyFill="1" applyBorder="1"/>
    <xf numFmtId="0" fontId="12" fillId="2" borderId="1" xfId="0" applyFont="1" applyFill="1" applyBorder="1"/>
    <xf numFmtId="10" fontId="4" fillId="2" borderId="1" xfId="0" applyNumberFormat="1" applyFont="1" applyFill="1" applyBorder="1"/>
    <xf numFmtId="167" fontId="4" fillId="0" borderId="0" xfId="0" applyNumberFormat="1" applyFont="1" applyFill="1"/>
    <xf numFmtId="2" fontId="4" fillId="0" borderId="0" xfId="0" applyNumberFormat="1" applyFont="1" applyAlignment="1"/>
    <xf numFmtId="0" fontId="4" fillId="3" borderId="0" xfId="0" applyFont="1" applyFill="1"/>
    <xf numFmtId="0" fontId="4" fillId="2" borderId="1" xfId="0" applyFont="1" applyFill="1" applyBorder="1" applyAlignment="1">
      <alignment horizontal="center" vertical="center"/>
    </xf>
    <xf numFmtId="1" fontId="4" fillId="2" borderId="1" xfId="0" applyNumberFormat="1" applyFont="1" applyFill="1" applyBorder="1"/>
    <xf numFmtId="1" fontId="12" fillId="2" borderId="1" xfId="0" applyNumberFormat="1" applyFont="1" applyFill="1" applyBorder="1"/>
    <xf numFmtId="0" fontId="6" fillId="2" borderId="1" xfId="0" applyFont="1" applyFill="1" applyBorder="1" applyAlignment="1">
      <alignment horizontal="center" vertical="center"/>
    </xf>
    <xf numFmtId="0" fontId="12" fillId="2" borderId="0" xfId="0" applyFont="1" applyFill="1" applyBorder="1"/>
    <xf numFmtId="165" fontId="4" fillId="2" borderId="0" xfId="0" applyNumberFormat="1" applyFont="1" applyFill="1" applyBorder="1"/>
    <xf numFmtId="1" fontId="4" fillId="2" borderId="0" xfId="0" applyNumberFormat="1" applyFont="1" applyFill="1" applyBorder="1"/>
    <xf numFmtId="0" fontId="4" fillId="2" borderId="0" xfId="0" applyFont="1" applyFill="1" applyBorder="1"/>
    <xf numFmtId="0" fontId="12" fillId="2" borderId="0" xfId="0" applyFont="1" applyFill="1" applyBorder="1" applyAlignment="1"/>
    <xf numFmtId="0" fontId="4" fillId="2" borderId="0" xfId="0" applyFont="1" applyFill="1" applyBorder="1" applyAlignment="1"/>
    <xf numFmtId="0" fontId="4" fillId="2" borderId="1" xfId="0" applyFont="1" applyFill="1" applyBorder="1" applyAlignment="1"/>
    <xf numFmtId="1" fontId="4" fillId="2" borderId="1" xfId="0" applyNumberFormat="1" applyFont="1" applyFill="1" applyBorder="1" applyAlignment="1"/>
    <xf numFmtId="0" fontId="4" fillId="2" borderId="0" xfId="0" applyFont="1" applyFill="1" applyBorder="1" applyAlignment="1">
      <alignment horizontal="center"/>
    </xf>
    <xf numFmtId="0" fontId="12" fillId="2" borderId="1" xfId="0" applyFont="1" applyFill="1" applyBorder="1" applyAlignment="1"/>
    <xf numFmtId="0" fontId="24" fillId="2" borderId="0" xfId="0" applyFont="1" applyFill="1" applyAlignment="1"/>
    <xf numFmtId="0" fontId="24" fillId="2" borderId="0" xfId="0" applyFont="1" applyFill="1"/>
    <xf numFmtId="0" fontId="24" fillId="0" borderId="0" xfId="0" applyFont="1"/>
    <xf numFmtId="0" fontId="4" fillId="2" borderId="1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wrapText="1"/>
    </xf>
    <xf numFmtId="0" fontId="24" fillId="2" borderId="0" xfId="0" applyFont="1" applyFill="1" applyBorder="1" applyAlignment="1"/>
    <xf numFmtId="166" fontId="4" fillId="2" borderId="1" xfId="0" applyNumberFormat="1" applyFont="1" applyFill="1" applyBorder="1"/>
    <xf numFmtId="0" fontId="5" fillId="2" borderId="0" xfId="0" applyFont="1" applyFill="1"/>
    <xf numFmtId="0" fontId="25" fillId="2" borderId="0" xfId="0" applyFont="1" applyFill="1"/>
    <xf numFmtId="166" fontId="5" fillId="2" borderId="1" xfId="0" applyNumberFormat="1" applyFont="1" applyFill="1" applyBorder="1"/>
    <xf numFmtId="166" fontId="4" fillId="2" borderId="0" xfId="0" applyNumberFormat="1" applyFont="1" applyFill="1" applyBorder="1"/>
    <xf numFmtId="0" fontId="24" fillId="2" borderId="0" xfId="0" applyFont="1" applyFill="1" applyBorder="1"/>
    <xf numFmtId="0" fontId="24" fillId="0" borderId="0" xfId="0" applyFont="1" applyBorder="1"/>
    <xf numFmtId="0" fontId="6" fillId="2" borderId="0" xfId="0" applyFont="1" applyFill="1" applyBorder="1" applyAlignment="1"/>
    <xf numFmtId="0" fontId="7" fillId="2" borderId="0" xfId="0" applyFont="1" applyFill="1" applyBorder="1" applyAlignment="1"/>
    <xf numFmtId="0" fontId="7" fillId="2" borderId="0" xfId="0" applyFont="1" applyFill="1" applyBorder="1"/>
    <xf numFmtId="166" fontId="6" fillId="2" borderId="0" xfId="0" applyNumberFormat="1" applyFont="1" applyFill="1" applyBorder="1"/>
    <xf numFmtId="0" fontId="7" fillId="0" borderId="0" xfId="0" applyFont="1" applyBorder="1"/>
    <xf numFmtId="0" fontId="8" fillId="2" borderId="0" xfId="0" applyFont="1" applyFill="1" applyBorder="1" applyAlignment="1"/>
    <xf numFmtId="0" fontId="5" fillId="2" borderId="0" xfId="0" applyFont="1" applyFill="1" applyBorder="1" applyAlignment="1"/>
    <xf numFmtId="0" fontId="5" fillId="2" borderId="0" xfId="0" applyFont="1" applyFill="1" applyBorder="1"/>
    <xf numFmtId="0" fontId="8" fillId="2" borderId="0" xfId="0" applyFont="1" applyFill="1" applyBorder="1"/>
    <xf numFmtId="166" fontId="8" fillId="2" borderId="0" xfId="0" applyNumberFormat="1" applyFont="1" applyFill="1" applyBorder="1"/>
    <xf numFmtId="0" fontId="5" fillId="0" borderId="0" xfId="0" applyFont="1" applyBorder="1"/>
    <xf numFmtId="0" fontId="4" fillId="2" borderId="0" xfId="0" applyFont="1" applyFill="1" applyAlignment="1">
      <alignment horizontal="center" vertical="center"/>
    </xf>
    <xf numFmtId="0" fontId="19" fillId="2" borderId="0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/>
    </xf>
    <xf numFmtId="0" fontId="11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19" fillId="2" borderId="0" xfId="0" applyFont="1" applyFill="1" applyBorder="1"/>
    <xf numFmtId="0" fontId="25" fillId="2" borderId="0" xfId="0" applyFont="1" applyFill="1" applyBorder="1"/>
    <xf numFmtId="0" fontId="8" fillId="2" borderId="0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166" fontId="5" fillId="2" borderId="0" xfId="0" applyNumberFormat="1" applyFont="1" applyFill="1" applyBorder="1"/>
    <xf numFmtId="2" fontId="4" fillId="2" borderId="0" xfId="0" applyNumberFormat="1" applyFont="1" applyFill="1" applyBorder="1"/>
    <xf numFmtId="166" fontId="19" fillId="2" borderId="0" xfId="0" applyNumberFormat="1" applyFont="1" applyFill="1" applyBorder="1"/>
    <xf numFmtId="0" fontId="26" fillId="2" borderId="0" xfId="0" applyFont="1" applyFill="1" applyBorder="1"/>
    <xf numFmtId="0" fontId="7" fillId="2" borderId="0" xfId="0" applyFont="1" applyFill="1" applyBorder="1" applyAlignment="1">
      <alignment horizontal="right"/>
    </xf>
    <xf numFmtId="0" fontId="24" fillId="2" borderId="4" xfId="0" applyFont="1" applyFill="1" applyBorder="1" applyAlignment="1" applyProtection="1">
      <alignment horizontal="center" vertical="center"/>
      <protection locked="0"/>
    </xf>
    <xf numFmtId="0" fontId="5" fillId="2" borderId="5" xfId="0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Protection="1">
      <protection locked="0"/>
    </xf>
    <xf numFmtId="0" fontId="8" fillId="2" borderId="6" xfId="0" applyFont="1" applyFill="1" applyBorder="1" applyAlignment="1" applyProtection="1">
      <alignment horizontal="center" vertical="center"/>
      <protection locked="0"/>
    </xf>
    <xf numFmtId="0" fontId="5" fillId="2" borderId="7" xfId="0" applyFont="1" applyFill="1" applyBorder="1" applyAlignment="1" applyProtection="1">
      <alignment horizontal="center" vertical="center" wrapText="1"/>
      <protection locked="0"/>
    </xf>
    <xf numFmtId="166" fontId="8" fillId="2" borderId="2" xfId="0" applyNumberFormat="1" applyFont="1" applyFill="1" applyBorder="1" applyAlignment="1" applyProtection="1">
      <alignment horizontal="center" vertical="center"/>
      <protection locked="0"/>
    </xf>
    <xf numFmtId="0" fontId="5" fillId="2" borderId="8" xfId="0" applyFont="1" applyFill="1" applyBorder="1" applyAlignment="1" applyProtection="1">
      <alignment horizontal="center" vertical="center"/>
      <protection locked="0"/>
    </xf>
    <xf numFmtId="0" fontId="4" fillId="2" borderId="9" xfId="0" applyFont="1" applyFill="1" applyBorder="1" applyAlignment="1">
      <alignment horizontal="center" vertical="center"/>
    </xf>
    <xf numFmtId="0" fontId="4" fillId="2" borderId="9" xfId="0" applyFont="1" applyFill="1" applyBorder="1"/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28" fillId="2" borderId="12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2" xfId="0" applyFont="1" applyFill="1" applyBorder="1"/>
    <xf numFmtId="0" fontId="4" fillId="2" borderId="14" xfId="0" applyFont="1" applyFill="1" applyBorder="1"/>
    <xf numFmtId="0" fontId="5" fillId="2" borderId="15" xfId="0" applyFont="1" applyFill="1" applyBorder="1" applyAlignment="1">
      <alignment horizontal="center" vertical="center"/>
    </xf>
    <xf numFmtId="0" fontId="28" fillId="2" borderId="16" xfId="0" applyFont="1" applyFill="1" applyBorder="1"/>
    <xf numFmtId="0" fontId="28" fillId="2" borderId="12" xfId="0" applyFont="1" applyFill="1" applyBorder="1"/>
    <xf numFmtId="0" fontId="4" fillId="2" borderId="17" xfId="0" applyFont="1" applyFill="1" applyBorder="1" applyAlignment="1">
      <alignment horizontal="left"/>
    </xf>
    <xf numFmtId="0" fontId="28" fillId="2" borderId="18" xfId="0" applyFont="1" applyFill="1" applyBorder="1"/>
    <xf numFmtId="0" fontId="19" fillId="2" borderId="19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2" fillId="0" borderId="0" xfId="0" applyFont="1" applyFill="1" applyBorder="1"/>
    <xf numFmtId="0" fontId="4" fillId="2" borderId="0" xfId="0" applyFont="1" applyFill="1" applyBorder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28" fillId="2" borderId="1" xfId="0" applyFont="1" applyFill="1" applyBorder="1" applyAlignment="1">
      <alignment horizontal="center" vertical="center"/>
    </xf>
    <xf numFmtId="0" fontId="28" fillId="2" borderId="1" xfId="0" applyFont="1" applyFill="1" applyBorder="1"/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Border="1"/>
    <xf numFmtId="0" fontId="44" fillId="2" borderId="0" xfId="0" applyFont="1" applyFill="1" applyAlignment="1"/>
    <xf numFmtId="0" fontId="44" fillId="2" borderId="0" xfId="0" applyFont="1" applyFill="1"/>
    <xf numFmtId="0" fontId="44" fillId="0" borderId="0" xfId="0" applyFont="1"/>
    <xf numFmtId="0" fontId="45" fillId="2" borderId="1" xfId="0" applyFont="1" applyFill="1" applyBorder="1" applyAlignment="1">
      <alignment horizontal="center" vertical="center"/>
    </xf>
    <xf numFmtId="0" fontId="45" fillId="2" borderId="1" xfId="0" applyFont="1" applyFill="1" applyBorder="1" applyAlignment="1">
      <alignment horizontal="center" vertical="center" wrapText="1"/>
    </xf>
    <xf numFmtId="0" fontId="46" fillId="2" borderId="1" xfId="0" applyFont="1" applyFill="1" applyBorder="1" applyAlignment="1">
      <alignment horizontal="center" vertical="center"/>
    </xf>
    <xf numFmtId="0" fontId="46" fillId="2" borderId="0" xfId="0" applyFont="1" applyFill="1" applyBorder="1"/>
    <xf numFmtId="0" fontId="46" fillId="2" borderId="0" xfId="0" applyFont="1" applyFill="1" applyBorder="1" applyAlignment="1">
      <alignment wrapText="1"/>
    </xf>
    <xf numFmtId="0" fontId="44" fillId="2" borderId="0" xfId="0" applyFont="1" applyFill="1" applyBorder="1" applyAlignment="1"/>
    <xf numFmtId="0" fontId="47" fillId="2" borderId="0" xfId="0" applyFont="1" applyFill="1"/>
    <xf numFmtId="0" fontId="48" fillId="2" borderId="1" xfId="0" applyFont="1" applyFill="1" applyBorder="1"/>
    <xf numFmtId="0" fontId="45" fillId="2" borderId="1" xfId="0" applyFont="1" applyFill="1" applyBorder="1"/>
    <xf numFmtId="166" fontId="45" fillId="2" borderId="1" xfId="0" applyNumberFormat="1" applyFont="1" applyFill="1" applyBorder="1"/>
    <xf numFmtId="0" fontId="49" fillId="2" borderId="0" xfId="0" applyFont="1" applyFill="1"/>
    <xf numFmtId="0" fontId="50" fillId="2" borderId="0" xfId="0" applyFont="1" applyFill="1"/>
    <xf numFmtId="166" fontId="49" fillId="2" borderId="1" xfId="0" applyNumberFormat="1" applyFont="1" applyFill="1" applyBorder="1"/>
    <xf numFmtId="0" fontId="48" fillId="2" borderId="0" xfId="0" applyFont="1" applyFill="1" applyBorder="1"/>
    <xf numFmtId="0" fontId="45" fillId="2" borderId="0" xfId="0" applyFont="1" applyFill="1" applyBorder="1"/>
    <xf numFmtId="166" fontId="45" fillId="2" borderId="0" xfId="0" applyNumberFormat="1" applyFont="1" applyFill="1" applyBorder="1"/>
    <xf numFmtId="0" fontId="44" fillId="2" borderId="0" xfId="0" applyFont="1" applyFill="1" applyBorder="1"/>
    <xf numFmtId="0" fontId="44" fillId="0" borderId="0" xfId="0" applyFont="1" applyBorder="1"/>
    <xf numFmtId="0" fontId="46" fillId="2" borderId="0" xfId="0" applyFont="1" applyFill="1" applyBorder="1" applyAlignment="1"/>
    <xf numFmtId="0" fontId="51" fillId="2" borderId="0" xfId="0" applyFont="1" applyFill="1" applyBorder="1" applyAlignment="1"/>
    <xf numFmtId="0" fontId="51" fillId="2" borderId="0" xfId="0" applyFont="1" applyFill="1" applyBorder="1"/>
    <xf numFmtId="166" fontId="46" fillId="2" borderId="0" xfId="0" applyNumberFormat="1" applyFont="1" applyFill="1" applyBorder="1"/>
    <xf numFmtId="0" fontId="51" fillId="0" borderId="0" xfId="0" applyFont="1" applyBorder="1"/>
    <xf numFmtId="0" fontId="47" fillId="2" borderId="0" xfId="0" applyFont="1" applyFill="1" applyBorder="1" applyAlignment="1"/>
    <xf numFmtId="0" fontId="49" fillId="2" borderId="0" xfId="0" applyFont="1" applyFill="1" applyBorder="1" applyAlignment="1"/>
    <xf numFmtId="0" fontId="49" fillId="2" borderId="0" xfId="0" applyFont="1" applyFill="1" applyBorder="1"/>
    <xf numFmtId="0" fontId="47" fillId="2" borderId="0" xfId="0" applyFont="1" applyFill="1" applyBorder="1"/>
    <xf numFmtId="166" fontId="47" fillId="2" borderId="0" xfId="0" applyNumberFormat="1" applyFont="1" applyFill="1" applyBorder="1"/>
    <xf numFmtId="0" fontId="49" fillId="0" borderId="0" xfId="0" applyFont="1" applyBorder="1"/>
    <xf numFmtId="0" fontId="45" fillId="2" borderId="0" xfId="0" applyFont="1" applyFill="1" applyAlignment="1">
      <alignment horizontal="center" vertical="center"/>
    </xf>
    <xf numFmtId="0" fontId="52" fillId="2" borderId="0" xfId="0" applyFont="1" applyFill="1" applyBorder="1"/>
    <xf numFmtId="0" fontId="53" fillId="2" borderId="0" xfId="0" applyFont="1" applyFill="1" applyBorder="1" applyAlignment="1">
      <alignment horizontal="center" vertical="center"/>
    </xf>
    <xf numFmtId="0" fontId="52" fillId="2" borderId="0" xfId="0" applyFont="1" applyFill="1" applyBorder="1" applyAlignment="1">
      <alignment horizontal="center"/>
    </xf>
    <xf numFmtId="0" fontId="45" fillId="2" borderId="0" xfId="0" applyFont="1" applyFill="1" applyBorder="1" applyAlignment="1"/>
    <xf numFmtId="0" fontId="52" fillId="2" borderId="0" xfId="0" applyFont="1" applyFill="1" applyAlignment="1">
      <alignment horizontal="center" vertical="center"/>
    </xf>
    <xf numFmtId="165" fontId="45" fillId="2" borderId="0" xfId="0" applyNumberFormat="1" applyFont="1" applyFill="1" applyBorder="1"/>
    <xf numFmtId="1" fontId="45" fillId="2" borderId="0" xfId="0" applyNumberFormat="1" applyFont="1" applyFill="1" applyBorder="1"/>
    <xf numFmtId="0" fontId="48" fillId="2" borderId="0" xfId="0" applyFont="1" applyFill="1" applyBorder="1" applyAlignment="1"/>
    <xf numFmtId="1" fontId="45" fillId="2" borderId="1" xfId="0" applyNumberFormat="1" applyFont="1" applyFill="1" applyBorder="1"/>
    <xf numFmtId="0" fontId="51" fillId="2" borderId="1" xfId="0" applyFont="1" applyFill="1" applyBorder="1" applyAlignment="1">
      <alignment horizontal="right"/>
    </xf>
    <xf numFmtId="0" fontId="49" fillId="2" borderId="0" xfId="0" applyFont="1" applyFill="1" applyAlignment="1">
      <alignment horizontal="center" vertical="center"/>
    </xf>
    <xf numFmtId="0" fontId="46" fillId="2" borderId="0" xfId="0" applyFont="1" applyFill="1" applyAlignment="1">
      <alignment horizontal="center" vertical="center"/>
    </xf>
    <xf numFmtId="0" fontId="46" fillId="2" borderId="0" xfId="0" applyFont="1" applyFill="1" applyBorder="1" applyAlignment="1">
      <alignment horizontal="center" vertical="center"/>
    </xf>
    <xf numFmtId="0" fontId="51" fillId="2" borderId="0" xfId="0" applyFont="1" applyFill="1" applyBorder="1" applyAlignment="1">
      <alignment horizontal="center"/>
    </xf>
    <xf numFmtId="0" fontId="51" fillId="2" borderId="0" xfId="0" applyFont="1" applyFill="1" applyAlignment="1">
      <alignment horizontal="center" vertical="center"/>
    </xf>
    <xf numFmtId="0" fontId="45" fillId="2" borderId="1" xfId="0" applyFont="1" applyFill="1" applyBorder="1" applyAlignment="1"/>
    <xf numFmtId="1" fontId="45" fillId="2" borderId="1" xfId="0" applyNumberFormat="1" applyFont="1" applyFill="1" applyBorder="1" applyAlignment="1"/>
    <xf numFmtId="0" fontId="46" fillId="2" borderId="0" xfId="0" applyFont="1" applyFill="1" applyAlignment="1">
      <alignment vertical="center"/>
    </xf>
    <xf numFmtId="0" fontId="53" fillId="2" borderId="0" xfId="0" applyFont="1" applyFill="1" applyBorder="1"/>
    <xf numFmtId="0" fontId="50" fillId="2" borderId="0" xfId="0" applyFont="1" applyFill="1" applyBorder="1"/>
    <xf numFmtId="0" fontId="47" fillId="2" borderId="0" xfId="0" applyFont="1" applyFill="1" applyBorder="1" applyAlignment="1">
      <alignment horizontal="center" vertical="center"/>
    </xf>
    <xf numFmtId="0" fontId="51" fillId="2" borderId="3" xfId="0" applyFont="1" applyFill="1" applyBorder="1" applyAlignment="1">
      <alignment horizontal="center" vertical="center"/>
    </xf>
    <xf numFmtId="166" fontId="49" fillId="2" borderId="0" xfId="0" applyNumberFormat="1" applyFont="1" applyFill="1" applyBorder="1"/>
    <xf numFmtId="2" fontId="45" fillId="2" borderId="0" xfId="0" applyNumberFormat="1" applyFont="1" applyFill="1" applyBorder="1"/>
    <xf numFmtId="166" fontId="53" fillId="2" borderId="0" xfId="0" applyNumberFormat="1" applyFont="1" applyFill="1" applyBorder="1"/>
    <xf numFmtId="0" fontId="54" fillId="2" borderId="0" xfId="0" applyFont="1" applyFill="1" applyBorder="1"/>
    <xf numFmtId="0" fontId="45" fillId="2" borderId="0" xfId="0" applyFont="1" applyFill="1" applyBorder="1" applyAlignment="1">
      <alignment horizontal="center"/>
    </xf>
    <xf numFmtId="0" fontId="48" fillId="2" borderId="1" xfId="0" applyFont="1" applyFill="1" applyBorder="1" applyAlignment="1"/>
    <xf numFmtId="1" fontId="48" fillId="2" borderId="1" xfId="0" applyNumberFormat="1" applyFont="1" applyFill="1" applyBorder="1"/>
    <xf numFmtId="0" fontId="51" fillId="2" borderId="0" xfId="0" applyFont="1" applyFill="1" applyBorder="1" applyAlignment="1">
      <alignment horizontal="right"/>
    </xf>
    <xf numFmtId="0" fontId="45" fillId="2" borderId="0" xfId="0" applyFont="1" applyFill="1"/>
    <xf numFmtId="0" fontId="45" fillId="0" borderId="0" xfId="0" applyFont="1"/>
    <xf numFmtId="0" fontId="44" fillId="2" borderId="4" xfId="0" applyFont="1" applyFill="1" applyBorder="1" applyAlignment="1" applyProtection="1">
      <alignment horizontal="center" vertical="center"/>
      <protection locked="0"/>
    </xf>
    <xf numFmtId="0" fontId="49" fillId="2" borderId="5" xfId="0" applyFont="1" applyFill="1" applyBorder="1" applyAlignment="1" applyProtection="1">
      <alignment horizontal="center" vertical="center"/>
      <protection locked="0"/>
    </xf>
    <xf numFmtId="0" fontId="49" fillId="0" borderId="0" xfId="0" applyFont="1" applyFill="1" applyBorder="1" applyAlignment="1" applyProtection="1">
      <alignment horizontal="center" vertical="center"/>
      <protection locked="0"/>
    </xf>
    <xf numFmtId="0" fontId="45" fillId="0" borderId="0" xfId="0" applyFont="1" applyProtection="1">
      <protection locked="0"/>
    </xf>
    <xf numFmtId="0" fontId="45" fillId="2" borderId="4" xfId="0" applyFont="1" applyFill="1" applyBorder="1" applyAlignment="1" applyProtection="1">
      <alignment horizontal="center" vertical="center" wrapText="1"/>
      <protection locked="0"/>
    </xf>
    <xf numFmtId="0" fontId="47" fillId="2" borderId="6" xfId="0" applyFont="1" applyFill="1" applyBorder="1" applyAlignment="1" applyProtection="1">
      <alignment horizontal="center" vertical="center"/>
      <protection locked="0"/>
    </xf>
    <xf numFmtId="0" fontId="49" fillId="2" borderId="7" xfId="0" applyFont="1" applyFill="1" applyBorder="1" applyAlignment="1" applyProtection="1">
      <alignment horizontal="center" vertical="center" wrapText="1"/>
      <protection locked="0"/>
    </xf>
    <xf numFmtId="166" fontId="47" fillId="2" borderId="2" xfId="0" applyNumberFormat="1" applyFont="1" applyFill="1" applyBorder="1" applyAlignment="1" applyProtection="1">
      <alignment horizontal="center" vertical="center"/>
      <protection locked="0"/>
    </xf>
    <xf numFmtId="0" fontId="49" fillId="2" borderId="8" xfId="0" applyFont="1" applyFill="1" applyBorder="1" applyAlignment="1" applyProtection="1">
      <alignment horizontal="center" vertical="center"/>
      <protection locked="0"/>
    </xf>
    <xf numFmtId="0" fontId="48" fillId="2" borderId="22" xfId="0" applyFont="1" applyFill="1" applyBorder="1" applyAlignment="1">
      <alignment horizontal="center" vertical="center"/>
    </xf>
    <xf numFmtId="0" fontId="49" fillId="2" borderId="23" xfId="0" applyFont="1" applyFill="1" applyBorder="1" applyAlignment="1">
      <alignment horizontal="center" vertical="center"/>
    </xf>
    <xf numFmtId="0" fontId="45" fillId="2" borderId="9" xfId="0" applyFont="1" applyFill="1" applyBorder="1" applyAlignment="1">
      <alignment horizontal="center" vertical="center"/>
    </xf>
    <xf numFmtId="0" fontId="45" fillId="2" borderId="9" xfId="0" applyFont="1" applyFill="1" applyBorder="1"/>
    <xf numFmtId="0" fontId="49" fillId="2" borderId="10" xfId="0" applyFont="1" applyFill="1" applyBorder="1" applyAlignment="1">
      <alignment horizontal="center" vertical="center"/>
    </xf>
    <xf numFmtId="0" fontId="45" fillId="2" borderId="4" xfId="0" applyFont="1" applyFill="1" applyBorder="1" applyAlignment="1">
      <alignment horizontal="center" vertical="center"/>
    </xf>
    <xf numFmtId="0" fontId="49" fillId="2" borderId="11" xfId="0" applyFont="1" applyFill="1" applyBorder="1" applyAlignment="1">
      <alignment horizontal="center" vertical="center"/>
    </xf>
    <xf numFmtId="0" fontId="48" fillId="2" borderId="24" xfId="0" applyFont="1" applyFill="1" applyBorder="1" applyAlignment="1">
      <alignment horizontal="center" vertical="center"/>
    </xf>
    <xf numFmtId="0" fontId="48" fillId="2" borderId="25" xfId="0" applyFont="1" applyFill="1" applyBorder="1" applyAlignment="1">
      <alignment horizontal="center" vertical="center"/>
    </xf>
    <xf numFmtId="0" fontId="48" fillId="2" borderId="26" xfId="0" applyFont="1" applyFill="1" applyBorder="1" applyAlignment="1">
      <alignment horizontal="center" vertical="center"/>
    </xf>
    <xf numFmtId="0" fontId="45" fillId="2" borderId="26" xfId="0" applyFont="1" applyFill="1" applyBorder="1" applyAlignment="1">
      <alignment horizontal="center" vertical="center"/>
    </xf>
    <xf numFmtId="0" fontId="45" fillId="2" borderId="27" xfId="0" applyFont="1" applyFill="1" applyBorder="1" applyAlignment="1">
      <alignment horizontal="center" vertical="center"/>
    </xf>
    <xf numFmtId="0" fontId="45" fillId="2" borderId="26" xfId="0" applyFont="1" applyFill="1" applyBorder="1"/>
    <xf numFmtId="0" fontId="45" fillId="2" borderId="27" xfId="0" applyFont="1" applyFill="1" applyBorder="1"/>
    <xf numFmtId="0" fontId="47" fillId="2" borderId="23" xfId="0" applyFont="1" applyFill="1" applyBorder="1" applyAlignment="1">
      <alignment horizontal="center" vertical="center"/>
    </xf>
    <xf numFmtId="0" fontId="48" fillId="2" borderId="28" xfId="0" applyFont="1" applyFill="1" applyBorder="1" applyAlignment="1">
      <alignment horizontal="center" vertical="center"/>
    </xf>
    <xf numFmtId="0" fontId="48" fillId="2" borderId="29" xfId="0" applyFont="1" applyFill="1" applyBorder="1" applyAlignment="1">
      <alignment horizontal="center" vertical="center"/>
    </xf>
    <xf numFmtId="0" fontId="48" fillId="2" borderId="16" xfId="0" applyFont="1" applyFill="1" applyBorder="1" applyAlignment="1">
      <alignment horizontal="center" vertical="center"/>
    </xf>
    <xf numFmtId="0" fontId="45" fillId="2" borderId="16" xfId="0" applyFont="1" applyFill="1" applyBorder="1" applyAlignment="1">
      <alignment horizontal="center" vertical="center"/>
    </xf>
    <xf numFmtId="0" fontId="55" fillId="2" borderId="12" xfId="0" applyFont="1" applyFill="1" applyBorder="1" applyAlignment="1">
      <alignment horizontal="center" vertical="center"/>
    </xf>
    <xf numFmtId="0" fontId="49" fillId="2" borderId="13" xfId="0" applyFont="1" applyFill="1" applyBorder="1" applyAlignment="1">
      <alignment horizontal="center" vertical="center"/>
    </xf>
    <xf numFmtId="0" fontId="48" fillId="2" borderId="14" xfId="0" applyFont="1" applyFill="1" applyBorder="1" applyAlignment="1">
      <alignment horizontal="center" vertical="center"/>
    </xf>
    <xf numFmtId="0" fontId="48" fillId="2" borderId="17" xfId="0" applyFont="1" applyFill="1" applyBorder="1" applyAlignment="1">
      <alignment horizontal="center" vertical="center"/>
    </xf>
    <xf numFmtId="0" fontId="45" fillId="2" borderId="2" xfId="0" applyFont="1" applyFill="1" applyBorder="1" applyAlignment="1">
      <alignment horizontal="center" vertical="center"/>
    </xf>
    <xf numFmtId="0" fontId="45" fillId="2" borderId="14" xfId="0" applyFont="1" applyFill="1" applyBorder="1" applyAlignment="1">
      <alignment horizontal="center" vertical="center"/>
    </xf>
    <xf numFmtId="0" fontId="45" fillId="2" borderId="2" xfId="0" applyFont="1" applyFill="1" applyBorder="1"/>
    <xf numFmtId="0" fontId="45" fillId="2" borderId="14" xfId="0" applyFont="1" applyFill="1" applyBorder="1"/>
    <xf numFmtId="0" fontId="49" fillId="2" borderId="15" xfId="0" applyFont="1" applyFill="1" applyBorder="1" applyAlignment="1">
      <alignment horizontal="center" vertical="center"/>
    </xf>
    <xf numFmtId="0" fontId="45" fillId="2" borderId="6" xfId="0" applyFont="1" applyFill="1" applyBorder="1" applyAlignment="1">
      <alignment horizontal="center" vertical="center"/>
    </xf>
    <xf numFmtId="0" fontId="45" fillId="2" borderId="29" xfId="0" applyFont="1" applyFill="1" applyBorder="1" applyAlignment="1">
      <alignment horizontal="center" vertical="center"/>
    </xf>
    <xf numFmtId="2" fontId="55" fillId="2" borderId="12" xfId="0" applyNumberFormat="1" applyFont="1" applyFill="1" applyBorder="1" applyAlignment="1">
      <alignment horizontal="center" vertical="center"/>
    </xf>
    <xf numFmtId="0" fontId="48" fillId="2" borderId="14" xfId="0" applyFont="1" applyFill="1" applyBorder="1" applyAlignment="1">
      <alignment horizontal="center"/>
    </xf>
    <xf numFmtId="0" fontId="48" fillId="2" borderId="17" xfId="0" applyFont="1" applyFill="1" applyBorder="1" applyAlignment="1">
      <alignment horizontal="center"/>
    </xf>
    <xf numFmtId="0" fontId="55" fillId="2" borderId="16" xfId="0" applyFont="1" applyFill="1" applyBorder="1"/>
    <xf numFmtId="0" fontId="55" fillId="2" borderId="12" xfId="0" applyFont="1" applyFill="1" applyBorder="1"/>
    <xf numFmtId="0" fontId="48" fillId="2" borderId="14" xfId="0" applyFont="1" applyFill="1" applyBorder="1" applyAlignment="1">
      <alignment horizontal="left" vertical="center"/>
    </xf>
    <xf numFmtId="0" fontId="45" fillId="2" borderId="17" xfId="0" applyFont="1" applyFill="1" applyBorder="1" applyAlignment="1">
      <alignment horizontal="left"/>
    </xf>
    <xf numFmtId="0" fontId="48" fillId="2" borderId="30" xfId="0" applyFont="1" applyFill="1" applyBorder="1" applyAlignment="1">
      <alignment horizontal="center" vertical="center"/>
    </xf>
    <xf numFmtId="0" fontId="48" fillId="2" borderId="0" xfId="0" applyFont="1" applyFill="1" applyBorder="1" applyAlignment="1">
      <alignment horizontal="center" vertical="center"/>
    </xf>
    <xf numFmtId="0" fontId="49" fillId="2" borderId="5" xfId="0" applyFont="1" applyFill="1" applyBorder="1" applyAlignment="1">
      <alignment horizontal="center" vertical="center"/>
    </xf>
    <xf numFmtId="0" fontId="45" fillId="0" borderId="0" xfId="0" applyFont="1" applyFill="1"/>
    <xf numFmtId="0" fontId="45" fillId="2" borderId="31" xfId="0" applyFont="1" applyFill="1" applyBorder="1" applyAlignment="1">
      <alignment horizontal="center" vertical="center"/>
    </xf>
    <xf numFmtId="0" fontId="49" fillId="2" borderId="7" xfId="0" applyFont="1" applyFill="1" applyBorder="1" applyAlignment="1">
      <alignment horizontal="center" vertical="center"/>
    </xf>
    <xf numFmtId="0" fontId="48" fillId="2" borderId="2" xfId="0" applyFont="1" applyFill="1" applyBorder="1" applyAlignment="1">
      <alignment horizontal="center" vertical="center"/>
    </xf>
    <xf numFmtId="2" fontId="49" fillId="2" borderId="13" xfId="0" applyNumberFormat="1" applyFont="1" applyFill="1" applyBorder="1" applyAlignment="1">
      <alignment horizontal="center" vertical="center"/>
    </xf>
    <xf numFmtId="0" fontId="45" fillId="2" borderId="30" xfId="0" applyFont="1" applyFill="1" applyBorder="1" applyAlignment="1">
      <alignment horizontal="center" vertical="center"/>
    </xf>
    <xf numFmtId="0" fontId="45" fillId="2" borderId="6" xfId="0" applyFont="1" applyFill="1" applyBorder="1"/>
    <xf numFmtId="0" fontId="45" fillId="2" borderId="30" xfId="0" applyFont="1" applyFill="1" applyBorder="1"/>
    <xf numFmtId="0" fontId="45" fillId="2" borderId="25" xfId="0" applyFont="1" applyFill="1" applyBorder="1" applyAlignment="1">
      <alignment horizontal="center" vertical="center"/>
    </xf>
    <xf numFmtId="0" fontId="45" fillId="2" borderId="32" xfId="0" applyFont="1" applyFill="1" applyBorder="1" applyAlignment="1">
      <alignment horizontal="center" vertical="center"/>
    </xf>
    <xf numFmtId="0" fontId="45" fillId="2" borderId="12" xfId="0" applyFont="1" applyFill="1" applyBorder="1" applyAlignment="1">
      <alignment horizontal="center" vertical="center"/>
    </xf>
    <xf numFmtId="0" fontId="45" fillId="2" borderId="16" xfId="0" applyFont="1" applyFill="1" applyBorder="1"/>
    <xf numFmtId="0" fontId="45" fillId="2" borderId="12" xfId="0" applyFont="1" applyFill="1" applyBorder="1"/>
    <xf numFmtId="0" fontId="48" fillId="2" borderId="33" xfId="0" applyFont="1" applyFill="1" applyBorder="1" applyAlignment="1">
      <alignment horizontal="center" vertical="center"/>
    </xf>
    <xf numFmtId="0" fontId="48" fillId="2" borderId="34" xfId="0" applyFont="1" applyFill="1" applyBorder="1" applyAlignment="1">
      <alignment horizontal="center" vertical="center"/>
    </xf>
    <xf numFmtId="0" fontId="46" fillId="2" borderId="2" xfId="0" applyFont="1" applyFill="1" applyBorder="1" applyAlignment="1">
      <alignment horizontal="center" vertical="center"/>
    </xf>
    <xf numFmtId="0" fontId="46" fillId="2" borderId="2" xfId="0" applyFont="1" applyFill="1" applyBorder="1"/>
    <xf numFmtId="0" fontId="46" fillId="2" borderId="14" xfId="0" applyFont="1" applyFill="1" applyBorder="1"/>
    <xf numFmtId="0" fontId="48" fillId="2" borderId="35" xfId="0" applyFont="1" applyFill="1" applyBorder="1" applyAlignment="1">
      <alignment horizontal="center" vertical="center"/>
    </xf>
    <xf numFmtId="0" fontId="55" fillId="2" borderId="16" xfId="0" applyFont="1" applyFill="1" applyBorder="1" applyAlignment="1">
      <alignment horizontal="center" vertical="center"/>
    </xf>
    <xf numFmtId="0" fontId="55" fillId="2" borderId="18" xfId="0" applyFont="1" applyFill="1" applyBorder="1" applyAlignment="1">
      <alignment horizontal="center" vertical="center"/>
    </xf>
    <xf numFmtId="0" fontId="55" fillId="2" borderId="4" xfId="0" applyFont="1" applyFill="1" applyBorder="1"/>
    <xf numFmtId="0" fontId="55" fillId="2" borderId="18" xfId="0" applyFont="1" applyFill="1" applyBorder="1"/>
    <xf numFmtId="0" fontId="53" fillId="2" borderId="19" xfId="0" applyFont="1" applyFill="1" applyBorder="1" applyAlignment="1">
      <alignment horizontal="center" vertical="center"/>
    </xf>
    <xf numFmtId="0" fontId="45" fillId="2" borderId="20" xfId="0" applyFont="1" applyFill="1" applyBorder="1" applyAlignment="1">
      <alignment horizontal="center" vertical="center"/>
    </xf>
    <xf numFmtId="0" fontId="46" fillId="2" borderId="20" xfId="0" applyFont="1" applyFill="1" applyBorder="1" applyAlignment="1">
      <alignment horizontal="center" vertical="center"/>
    </xf>
    <xf numFmtId="0" fontId="46" fillId="2" borderId="21" xfId="0" applyFont="1" applyFill="1" applyBorder="1" applyAlignment="1">
      <alignment horizontal="center" vertical="center"/>
    </xf>
    <xf numFmtId="0" fontId="52" fillId="2" borderId="8" xfId="0" applyFont="1" applyFill="1" applyBorder="1" applyAlignment="1">
      <alignment horizontal="center" vertical="center"/>
    </xf>
    <xf numFmtId="0" fontId="45" fillId="0" borderId="0" xfId="0" applyFont="1" applyFill="1" applyBorder="1"/>
    <xf numFmtId="0" fontId="48" fillId="0" borderId="16" xfId="0" applyFont="1" applyBorder="1" applyAlignment="1">
      <alignment horizontal="center" vertical="center"/>
    </xf>
    <xf numFmtId="0" fontId="48" fillId="0" borderId="0" xfId="0" applyFont="1" applyFill="1" applyBorder="1"/>
    <xf numFmtId="0" fontId="45" fillId="2" borderId="4" xfId="0" applyFont="1" applyFill="1" applyBorder="1" applyAlignment="1" applyProtection="1">
      <alignment horizontal="center" vertical="center" wrapText="1"/>
      <protection locked="0"/>
    </xf>
    <xf numFmtId="0" fontId="45" fillId="2" borderId="9" xfId="0" applyFont="1" applyFill="1" applyBorder="1" applyAlignment="1">
      <alignment horizontal="center" vertical="center"/>
    </xf>
    <xf numFmtId="0" fontId="44" fillId="2" borderId="0" xfId="0" applyFont="1" applyFill="1" applyAlignment="1"/>
    <xf numFmtId="0" fontId="46" fillId="2" borderId="0" xfId="0" applyFont="1" applyFill="1" applyAlignment="1">
      <alignment horizontal="center" vertical="center"/>
    </xf>
    <xf numFmtId="0" fontId="46" fillId="2" borderId="0" xfId="0" applyFont="1" applyFill="1" applyBorder="1" applyAlignment="1">
      <alignment horizontal="center" vertical="center"/>
    </xf>
    <xf numFmtId="0" fontId="45" fillId="2" borderId="0" xfId="0" applyFont="1" applyFill="1" applyAlignment="1">
      <alignment horizontal="center" vertical="center"/>
    </xf>
    <xf numFmtId="0" fontId="49" fillId="2" borderId="0" xfId="0" applyFont="1" applyFill="1" applyAlignment="1">
      <alignment horizontal="center" vertical="center"/>
    </xf>
    <xf numFmtId="0" fontId="47" fillId="2" borderId="0" xfId="0" applyFont="1" applyFill="1" applyBorder="1" applyAlignment="1">
      <alignment horizontal="center" vertical="center"/>
    </xf>
    <xf numFmtId="0" fontId="45" fillId="2" borderId="1" xfId="0" applyFont="1" applyFill="1" applyBorder="1" applyAlignment="1"/>
    <xf numFmtId="0" fontId="45" fillId="4" borderId="0" xfId="0" applyFont="1" applyFill="1" applyAlignment="1">
      <alignment horizontal="center" vertical="center"/>
    </xf>
    <xf numFmtId="0" fontId="56" fillId="0" borderId="1" xfId="0" applyFont="1" applyBorder="1" applyAlignment="1">
      <alignment horizontal="center" vertical="center"/>
    </xf>
    <xf numFmtId="0" fontId="56" fillId="4" borderId="1" xfId="0" applyFont="1" applyFill="1" applyBorder="1" applyAlignment="1">
      <alignment horizontal="center" vertical="center"/>
    </xf>
    <xf numFmtId="0" fontId="56" fillId="0" borderId="4" xfId="0" applyFont="1" applyBorder="1" applyAlignment="1">
      <alignment horizontal="center" vertical="center"/>
    </xf>
    <xf numFmtId="0" fontId="56" fillId="4" borderId="4" xfId="0" applyFont="1" applyFill="1" applyBorder="1" applyAlignment="1">
      <alignment horizontal="center" vertical="center"/>
    </xf>
    <xf numFmtId="0" fontId="45" fillId="2" borderId="0" xfId="0" applyFont="1" applyFill="1" applyBorder="1" applyAlignment="1">
      <alignment horizontal="center" vertical="center"/>
    </xf>
    <xf numFmtId="0" fontId="5" fillId="3" borderId="0" xfId="0" applyFont="1" applyFill="1"/>
    <xf numFmtId="0" fontId="5" fillId="7" borderId="0" xfId="0" applyFont="1" applyFill="1"/>
    <xf numFmtId="0" fontId="5" fillId="0" borderId="0" xfId="0" applyFont="1" applyAlignment="1">
      <alignment horizontal="left"/>
    </xf>
    <xf numFmtId="0" fontId="33" fillId="0" borderId="0" xfId="0" applyFont="1"/>
    <xf numFmtId="0" fontId="35" fillId="0" borderId="0" xfId="10" applyFont="1" applyFill="1"/>
    <xf numFmtId="0" fontId="8" fillId="0" borderId="0" xfId="10" applyFont="1"/>
    <xf numFmtId="0" fontId="8" fillId="0" borderId="0" xfId="0" applyFont="1" applyAlignment="1">
      <alignment horizontal="left"/>
    </xf>
    <xf numFmtId="0" fontId="34" fillId="0" borderId="0" xfId="10"/>
    <xf numFmtId="0" fontId="8" fillId="0" borderId="0" xfId="10" applyFont="1" applyAlignment="1">
      <alignment horizontal="left"/>
    </xf>
    <xf numFmtId="0" fontId="5" fillId="0" borderId="0" xfId="10" applyFont="1" applyAlignment="1">
      <alignment horizontal="center"/>
    </xf>
    <xf numFmtId="0" fontId="33" fillId="0" borderId="1" xfId="10" applyFont="1" applyBorder="1" applyAlignment="1">
      <alignment horizontal="center" vertical="center" wrapText="1"/>
    </xf>
    <xf numFmtId="0" fontId="34" fillId="0" borderId="0" xfId="10" applyFont="1"/>
    <xf numFmtId="0" fontId="8" fillId="0" borderId="1" xfId="10" applyFont="1" applyBorder="1" applyAlignment="1">
      <alignment horizontal="center" vertical="center"/>
    </xf>
    <xf numFmtId="0" fontId="8" fillId="0" borderId="1" xfId="10" applyFont="1" applyBorder="1" applyAlignment="1">
      <alignment horizontal="center" vertical="center" wrapText="1"/>
    </xf>
    <xf numFmtId="0" fontId="34" fillId="0" borderId="0" xfId="10" applyAlignment="1">
      <alignment horizontal="center"/>
    </xf>
    <xf numFmtId="0" fontId="33" fillId="0" borderId="0" xfId="10" applyFont="1" applyAlignment="1">
      <alignment wrapText="1"/>
    </xf>
    <xf numFmtId="0" fontId="33" fillId="0" borderId="36" xfId="10" applyFont="1" applyBorder="1" applyAlignment="1">
      <alignment horizontal="center" vertical="center" wrapText="1"/>
    </xf>
    <xf numFmtId="2" fontId="33" fillId="0" borderId="1" xfId="0" applyNumberFormat="1" applyFont="1" applyBorder="1" applyAlignment="1">
      <alignment horizontal="center" vertical="center"/>
    </xf>
    <xf numFmtId="166" fontId="33" fillId="0" borderId="1" xfId="0" applyNumberFormat="1" applyFont="1" applyBorder="1" applyAlignment="1">
      <alignment horizontal="center" vertical="center"/>
    </xf>
    <xf numFmtId="0" fontId="8" fillId="0" borderId="1" xfId="10" applyFont="1" applyBorder="1" applyAlignment="1">
      <alignment horizontal="left" wrapText="1"/>
    </xf>
    <xf numFmtId="0" fontId="33" fillId="0" borderId="1" xfId="1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2" fontId="8" fillId="0" borderId="1" xfId="10" applyNumberFormat="1" applyFont="1" applyBorder="1" applyAlignment="1">
      <alignment horizontal="center" vertical="center"/>
    </xf>
    <xf numFmtId="0" fontId="33" fillId="0" borderId="1" xfId="10" applyNumberFormat="1" applyFont="1" applyBorder="1" applyAlignment="1">
      <alignment horizontal="center" vertical="center"/>
    </xf>
    <xf numFmtId="0" fontId="34" fillId="0" borderId="1" xfId="0" applyFont="1" applyBorder="1" applyAlignment="1">
      <alignment horizontal="center" vertical="center"/>
    </xf>
    <xf numFmtId="0" fontId="34" fillId="0" borderId="1" xfId="10" applyFont="1" applyBorder="1" applyAlignment="1">
      <alignment horizontal="center" vertical="center"/>
    </xf>
    <xf numFmtId="0" fontId="8" fillId="0" borderId="0" xfId="2" applyFont="1" applyAlignment="1" applyProtection="1"/>
    <xf numFmtId="0" fontId="8" fillId="0" borderId="0" xfId="10" applyFont="1" applyAlignment="1">
      <alignment horizontal="left" wrapText="1"/>
    </xf>
    <xf numFmtId="0" fontId="47" fillId="0" borderId="0" xfId="10" applyFont="1"/>
    <xf numFmtId="0" fontId="33" fillId="0" borderId="0" xfId="10" applyFont="1" applyAlignment="1">
      <alignment horizontal="left" wrapText="1"/>
    </xf>
    <xf numFmtId="0" fontId="10" fillId="0" borderId="0" xfId="0" applyFont="1" applyAlignment="1">
      <alignment horizontal="left" wrapText="1"/>
    </xf>
    <xf numFmtId="0" fontId="58" fillId="0" borderId="0" xfId="10" applyFont="1"/>
    <xf numFmtId="0" fontId="35" fillId="0" borderId="0" xfId="0" applyFont="1"/>
    <xf numFmtId="0" fontId="38" fillId="0" borderId="0" xfId="0" applyFont="1"/>
    <xf numFmtId="0" fontId="39" fillId="0" borderId="0" xfId="10" applyFont="1" applyAlignment="1">
      <alignment horizontal="center"/>
    </xf>
    <xf numFmtId="0" fontId="5" fillId="0" borderId="0" xfId="10" applyFont="1" applyAlignment="1">
      <alignment horizontal="left"/>
    </xf>
    <xf numFmtId="0" fontId="4" fillId="0" borderId="0" xfId="10" applyFont="1"/>
    <xf numFmtId="0" fontId="39" fillId="0" borderId="0" xfId="10" applyFont="1"/>
    <xf numFmtId="0" fontId="8" fillId="8" borderId="0" xfId="0" applyFont="1" applyFill="1"/>
    <xf numFmtId="2" fontId="8" fillId="0" borderId="0" xfId="0" applyNumberFormat="1" applyFont="1" applyFill="1" applyBorder="1"/>
    <xf numFmtId="2" fontId="8" fillId="0" borderId="1" xfId="0" applyNumberFormat="1" applyFont="1" applyFill="1" applyBorder="1"/>
    <xf numFmtId="0" fontId="5" fillId="0" borderId="0" xfId="0" applyFont="1" applyAlignment="1">
      <alignment horizont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8" fillId="0" borderId="0" xfId="0" applyFont="1" applyBorder="1"/>
    <xf numFmtId="0" fontId="5" fillId="0" borderId="1" xfId="0" applyFont="1" applyBorder="1" applyAlignment="1"/>
    <xf numFmtId="2" fontId="8" fillId="0" borderId="0" xfId="0" applyNumberFormat="1" applyFont="1"/>
    <xf numFmtId="2" fontId="8" fillId="0" borderId="1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wrapText="1"/>
    </xf>
    <xf numFmtId="2" fontId="30" fillId="0" borderId="1" xfId="0" applyNumberFormat="1" applyFont="1" applyBorder="1" applyAlignment="1">
      <alignment horizontal="center" vertical="center"/>
    </xf>
    <xf numFmtId="2" fontId="40" fillId="0" borderId="1" xfId="0" applyNumberFormat="1" applyFont="1" applyBorder="1" applyAlignment="1">
      <alignment horizontal="center" vertical="center"/>
    </xf>
    <xf numFmtId="0" fontId="28" fillId="0" borderId="1" xfId="0" applyFont="1" applyBorder="1" applyAlignment="1">
      <alignment horizontal="center" vertical="center"/>
    </xf>
    <xf numFmtId="1" fontId="28" fillId="0" borderId="1" xfId="0" applyNumberFormat="1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/>
    </xf>
    <xf numFmtId="166" fontId="8" fillId="0" borderId="1" xfId="0" applyNumberFormat="1" applyFont="1" applyFill="1" applyBorder="1" applyAlignment="1">
      <alignment horizontal="center"/>
    </xf>
    <xf numFmtId="0" fontId="5" fillId="0" borderId="0" xfId="0" applyFont="1" applyBorder="1" applyAlignment="1">
      <alignment horizontal="left" vertical="center"/>
    </xf>
    <xf numFmtId="166" fontId="5" fillId="0" borderId="0" xfId="0" applyNumberFormat="1" applyFont="1" applyBorder="1" applyAlignment="1">
      <alignment horizontal="left" vertical="center"/>
    </xf>
    <xf numFmtId="2" fontId="5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29" fillId="0" borderId="0" xfId="0" applyFont="1"/>
    <xf numFmtId="0" fontId="8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center" vertical="center"/>
    </xf>
    <xf numFmtId="2" fontId="8" fillId="0" borderId="0" xfId="0" applyNumberFormat="1" applyFont="1" applyBorder="1" applyAlignment="1">
      <alignment horizontal="center" vertical="center"/>
    </xf>
    <xf numFmtId="2" fontId="8" fillId="0" borderId="0" xfId="0" applyNumberFormat="1" applyFont="1" applyBorder="1"/>
    <xf numFmtId="2" fontId="33" fillId="6" borderId="1" xfId="10" applyNumberFormat="1" applyFont="1" applyFill="1" applyBorder="1" applyAlignment="1">
      <alignment horizontal="center" vertical="center"/>
    </xf>
    <xf numFmtId="1" fontId="33" fillId="6" borderId="36" xfId="10" applyNumberFormat="1" applyFont="1" applyFill="1" applyBorder="1" applyAlignment="1">
      <alignment horizontal="center" vertical="center" wrapText="1"/>
    </xf>
    <xf numFmtId="166" fontId="33" fillId="6" borderId="1" xfId="10" applyNumberFormat="1" applyFont="1" applyFill="1" applyBorder="1" applyAlignment="1">
      <alignment horizontal="center" vertical="center"/>
    </xf>
    <xf numFmtId="1" fontId="33" fillId="6" borderId="1" xfId="1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2" fontId="8" fillId="0" borderId="1" xfId="0" applyNumberFormat="1" applyFont="1" applyBorder="1" applyAlignment="1">
      <alignment horizontal="center" vertical="center"/>
    </xf>
    <xf numFmtId="1" fontId="8" fillId="0" borderId="1" xfId="0" applyNumberFormat="1" applyFont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/>
    </xf>
    <xf numFmtId="2" fontId="28" fillId="0" borderId="1" xfId="0" applyNumberFormat="1" applyFont="1" applyBorder="1" applyAlignment="1">
      <alignment horizontal="center"/>
    </xf>
    <xf numFmtId="2" fontId="29" fillId="0" borderId="1" xfId="0" applyNumberFormat="1" applyFont="1" applyBorder="1" applyAlignment="1">
      <alignment horizontal="center" vertical="center"/>
    </xf>
    <xf numFmtId="2" fontId="28" fillId="0" borderId="1" xfId="0" applyNumberFormat="1" applyFont="1" applyBorder="1" applyAlignment="1">
      <alignment horizontal="center" vertical="center"/>
    </xf>
    <xf numFmtId="0" fontId="29" fillId="0" borderId="1" xfId="0" applyFont="1" applyBorder="1"/>
    <xf numFmtId="2" fontId="8" fillId="0" borderId="1" xfId="0" applyNumberFormat="1" applyFont="1" applyBorder="1" applyAlignment="1">
      <alignment horizontal="center" wrapText="1"/>
    </xf>
    <xf numFmtId="1" fontId="40" fillId="0" borderId="1" xfId="0" applyNumberFormat="1" applyFont="1" applyBorder="1" applyAlignment="1">
      <alignment horizontal="center" vertical="center"/>
    </xf>
    <xf numFmtId="166" fontId="28" fillId="0" borderId="1" xfId="0" applyNumberFormat="1" applyFont="1" applyBorder="1" applyAlignment="1">
      <alignment horizontal="center" vertical="center"/>
    </xf>
    <xf numFmtId="166" fontId="8" fillId="0" borderId="1" xfId="0" applyNumberFormat="1" applyFont="1" applyBorder="1" applyAlignment="1">
      <alignment horizontal="center" vertical="center"/>
    </xf>
    <xf numFmtId="165" fontId="28" fillId="0" borderId="1" xfId="0" applyNumberFormat="1" applyFont="1" applyBorder="1" applyAlignment="1">
      <alignment horizontal="center" vertical="center"/>
    </xf>
    <xf numFmtId="0" fontId="28" fillId="0" borderId="1" xfId="0" applyFont="1" applyBorder="1" applyAlignment="1">
      <alignment horizontal="center" vertical="center" wrapText="1"/>
    </xf>
    <xf numFmtId="2" fontId="8" fillId="0" borderId="1" xfId="0" applyNumberFormat="1" applyFont="1" applyBorder="1" applyAlignment="1">
      <alignment horizontal="center" vertical="center" wrapText="1"/>
    </xf>
    <xf numFmtId="1" fontId="29" fillId="0" borderId="1" xfId="0" applyNumberFormat="1" applyFont="1" applyBorder="1"/>
    <xf numFmtId="0" fontId="8" fillId="0" borderId="0" xfId="0" applyFont="1" applyAlignment="1">
      <alignment horizontal="left" wrapText="1"/>
    </xf>
    <xf numFmtId="0" fontId="8" fillId="0" borderId="4" xfId="0" applyFont="1" applyBorder="1" applyAlignment="1">
      <alignment horizontal="center"/>
    </xf>
    <xf numFmtId="0" fontId="8" fillId="8" borderId="1" xfId="0" applyFont="1" applyFill="1" applyBorder="1" applyAlignment="1">
      <alignment horizontal="center" wrapText="1"/>
    </xf>
    <xf numFmtId="0" fontId="5" fillId="8" borderId="0" xfId="0" applyFont="1" applyFill="1"/>
    <xf numFmtId="0" fontId="4" fillId="8" borderId="0" xfId="0" applyFont="1" applyFill="1"/>
    <xf numFmtId="0" fontId="8" fillId="0" borderId="1" xfId="0" applyFont="1" applyBorder="1" applyAlignment="1">
      <alignment horizontal="center" textRotation="90" wrapText="1"/>
    </xf>
    <xf numFmtId="0" fontId="8" fillId="0" borderId="1" xfId="0" applyFont="1" applyBorder="1" applyAlignment="1">
      <alignment horizontal="center" vertical="center" textRotation="90" wrapText="1"/>
    </xf>
    <xf numFmtId="168" fontId="8" fillId="0" borderId="1" xfId="0" applyNumberFormat="1" applyFont="1" applyBorder="1"/>
    <xf numFmtId="168" fontId="5" fillId="0" borderId="1" xfId="0" applyNumberFormat="1" applyFont="1" applyBorder="1"/>
    <xf numFmtId="0" fontId="57" fillId="0" borderId="1" xfId="0" applyFont="1" applyBorder="1" applyAlignment="1">
      <alignment horizontal="center" vertical="center" wrapText="1"/>
    </xf>
    <xf numFmtId="0" fontId="57" fillId="0" borderId="1" xfId="0" applyFont="1" applyBorder="1" applyAlignment="1">
      <alignment vertical="center" wrapText="1"/>
    </xf>
    <xf numFmtId="0" fontId="8" fillId="0" borderId="37" xfId="0" applyFont="1" applyBorder="1"/>
    <xf numFmtId="0" fontId="12" fillId="0" borderId="1" xfId="0" applyFont="1" applyBorder="1" applyAlignment="1">
      <alignment horizontal="center"/>
    </xf>
    <xf numFmtId="0" fontId="60" fillId="0" borderId="1" xfId="0" applyFont="1" applyBorder="1" applyAlignment="1">
      <alignment horizontal="center" vertical="center" wrapText="1"/>
    </xf>
    <xf numFmtId="2" fontId="42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2" fontId="12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166" fontId="4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left" vertical="center"/>
    </xf>
    <xf numFmtId="0" fontId="60" fillId="0" borderId="1" xfId="0" applyFont="1" applyFill="1" applyBorder="1" applyAlignment="1">
      <alignment horizontal="center" vertical="center" wrapText="1"/>
    </xf>
    <xf numFmtId="0" fontId="60" fillId="0" borderId="1" xfId="0" applyFont="1" applyBorder="1" applyAlignment="1">
      <alignment vertical="center" wrapText="1"/>
    </xf>
    <xf numFmtId="0" fontId="59" fillId="0" borderId="1" xfId="0" applyFont="1" applyBorder="1" applyAlignment="1">
      <alignment vertical="center" wrapText="1"/>
    </xf>
    <xf numFmtId="0" fontId="59" fillId="0" borderId="1" xfId="0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/>
    </xf>
    <xf numFmtId="165" fontId="4" fillId="0" borderId="0" xfId="0" applyNumberFormat="1" applyFont="1"/>
    <xf numFmtId="0" fontId="4" fillId="0" borderId="1" xfId="0" applyNumberFormat="1" applyFont="1" applyBorder="1" applyAlignment="1">
      <alignment horizontal="center" vertical="center"/>
    </xf>
    <xf numFmtId="0" fontId="29" fillId="0" borderId="0" xfId="0" applyFont="1" applyAlignment="1">
      <alignment horizontal="left" wrapText="1"/>
    </xf>
    <xf numFmtId="0" fontId="57" fillId="0" borderId="17" xfId="0" applyFont="1" applyBorder="1" applyAlignment="1">
      <alignment vertical="center" wrapText="1"/>
    </xf>
    <xf numFmtId="0" fontId="57" fillId="0" borderId="17" xfId="0" applyFont="1" applyBorder="1" applyAlignment="1">
      <alignment horizontal="center" vertical="center" wrapText="1"/>
    </xf>
    <xf numFmtId="2" fontId="4" fillId="0" borderId="17" xfId="0" applyNumberFormat="1" applyFont="1" applyBorder="1" applyAlignment="1">
      <alignment horizontal="center" vertical="center"/>
    </xf>
    <xf numFmtId="2" fontId="12" fillId="0" borderId="17" xfId="0" applyNumberFormat="1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8" fillId="0" borderId="0" xfId="0" applyFont="1" applyAlignment="1">
      <alignment wrapText="1"/>
    </xf>
    <xf numFmtId="0" fontId="37" fillId="0" borderId="0" xfId="10" applyFont="1" applyAlignment="1">
      <alignment wrapText="1"/>
    </xf>
    <xf numFmtId="0" fontId="4" fillId="0" borderId="0" xfId="10" applyFont="1" applyAlignment="1">
      <alignment horizontal="left" wrapText="1"/>
    </xf>
    <xf numFmtId="0" fontId="0" fillId="0" borderId="0" xfId="0" applyAlignment="1">
      <alignment horizontal="left" wrapText="1"/>
    </xf>
    <xf numFmtId="0" fontId="33" fillId="0" borderId="0" xfId="10" applyFont="1" applyAlignment="1">
      <alignment horizontal="left" wrapText="1"/>
    </xf>
    <xf numFmtId="0" fontId="10" fillId="0" borderId="0" xfId="0" applyFont="1" applyAlignment="1">
      <alignment horizontal="left" wrapText="1"/>
    </xf>
    <xf numFmtId="0" fontId="33" fillId="0" borderId="0" xfId="0" applyFont="1" applyAlignment="1">
      <alignment vertical="top" wrapText="1"/>
    </xf>
    <xf numFmtId="0" fontId="0" fillId="0" borderId="0" xfId="0" applyFont="1" applyAlignment="1">
      <alignment vertical="top"/>
    </xf>
    <xf numFmtId="0" fontId="33" fillId="0" borderId="0" xfId="0" applyFont="1" applyAlignment="1">
      <alignment horizontal="left" vertical="top" wrapText="1"/>
    </xf>
    <xf numFmtId="0" fontId="0" fillId="0" borderId="0" xfId="0" applyFont="1" applyAlignment="1">
      <alignment vertical="top" wrapText="1"/>
    </xf>
    <xf numFmtId="0" fontId="36" fillId="8" borderId="0" xfId="10" applyFont="1" applyFill="1" applyBorder="1" applyAlignment="1">
      <alignment horizontal="right"/>
    </xf>
    <xf numFmtId="0" fontId="5" fillId="8" borderId="0" xfId="10" applyFont="1" applyFill="1" applyAlignment="1">
      <alignment horizontal="center" wrapText="1"/>
    </xf>
    <xf numFmtId="0" fontId="33" fillId="0" borderId="1" xfId="10" applyFont="1" applyBorder="1" applyAlignment="1">
      <alignment horizontal="center" vertical="center" wrapText="1"/>
    </xf>
    <xf numFmtId="0" fontId="8" fillId="0" borderId="1" xfId="1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9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36" xfId="0" applyFont="1" applyFill="1" applyBorder="1" applyAlignment="1">
      <alignment horizontal="center"/>
    </xf>
    <xf numFmtId="0" fontId="4" fillId="0" borderId="0" xfId="0" applyFont="1" applyAlignment="1">
      <alignment wrapText="1"/>
    </xf>
    <xf numFmtId="0" fontId="8" fillId="0" borderId="0" xfId="0" applyFont="1" applyAlignment="1">
      <alignment wrapText="1"/>
    </xf>
    <xf numFmtId="0" fontId="4" fillId="0" borderId="0" xfId="0" applyFont="1" applyAlignment="1"/>
    <xf numFmtId="0" fontId="4" fillId="0" borderId="0" xfId="0" applyFont="1" applyFill="1" applyAlignment="1">
      <alignment horizontal="left"/>
    </xf>
    <xf numFmtId="0" fontId="4" fillId="0" borderId="0" xfId="0" applyFont="1" applyFill="1" applyAlignment="1">
      <alignment horizontal="center"/>
    </xf>
    <xf numFmtId="0" fontId="12" fillId="0" borderId="0" xfId="0" applyFont="1" applyFill="1" applyAlignment="1">
      <alignment horizontal="center"/>
    </xf>
    <xf numFmtId="2" fontId="4" fillId="0" borderId="0" xfId="0" applyNumberFormat="1" applyFont="1" applyFill="1" applyAlignment="1">
      <alignment horizontal="center"/>
    </xf>
    <xf numFmtId="0" fontId="8" fillId="0" borderId="4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justify" wrapText="1"/>
    </xf>
    <xf numFmtId="0" fontId="8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center" vertical="center"/>
    </xf>
    <xf numFmtId="1" fontId="8" fillId="0" borderId="17" xfId="0" applyNumberFormat="1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2" fontId="8" fillId="0" borderId="0" xfId="0" applyNumberFormat="1" applyFont="1" applyBorder="1" applyAlignment="1">
      <alignment horizontal="center" vertical="center"/>
    </xf>
    <xf numFmtId="0" fontId="8" fillId="0" borderId="0" xfId="0" applyFont="1" applyAlignment="1">
      <alignment horizontal="left" wrapText="1"/>
    </xf>
    <xf numFmtId="0" fontId="8" fillId="0" borderId="0" xfId="0" applyFont="1" applyBorder="1" applyAlignment="1">
      <alignment horizontal="left" vertical="center" wrapText="1"/>
    </xf>
    <xf numFmtId="2" fontId="8" fillId="0" borderId="39" xfId="0" applyNumberFormat="1" applyFont="1" applyBorder="1" applyAlignment="1">
      <alignment horizontal="center"/>
    </xf>
    <xf numFmtId="0" fontId="8" fillId="0" borderId="39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4" xfId="0" applyFont="1" applyBorder="1" applyAlignment="1">
      <alignment horizontal="center" vertical="center" textRotation="90" wrapText="1"/>
    </xf>
    <xf numFmtId="0" fontId="8" fillId="0" borderId="6" xfId="0" applyFont="1" applyBorder="1" applyAlignment="1">
      <alignment horizontal="center" vertical="center" textRotation="90" wrapText="1"/>
    </xf>
    <xf numFmtId="0" fontId="8" fillId="0" borderId="2" xfId="0" applyFont="1" applyBorder="1" applyAlignment="1">
      <alignment horizontal="center" vertical="center" textRotation="90" wrapText="1"/>
    </xf>
    <xf numFmtId="0" fontId="8" fillId="0" borderId="1" xfId="0" applyFont="1" applyBorder="1" applyAlignment="1">
      <alignment horizontal="center" vertical="center" textRotation="90"/>
    </xf>
    <xf numFmtId="0" fontId="8" fillId="0" borderId="9" xfId="0" applyFont="1" applyBorder="1" applyAlignment="1">
      <alignment horizontal="center"/>
    </xf>
    <xf numFmtId="0" fontId="8" fillId="0" borderId="22" xfId="0" applyFont="1" applyBorder="1" applyAlignment="1">
      <alignment horizontal="center"/>
    </xf>
    <xf numFmtId="0" fontId="8" fillId="0" borderId="36" xfId="0" applyFont="1" applyBorder="1" applyAlignment="1">
      <alignment horizontal="center"/>
    </xf>
    <xf numFmtId="0" fontId="8" fillId="0" borderId="9" xfId="0" applyFont="1" applyBorder="1" applyAlignment="1">
      <alignment horizontal="center" wrapText="1"/>
    </xf>
    <xf numFmtId="0" fontId="8" fillId="0" borderId="22" xfId="0" applyFont="1" applyBorder="1" applyAlignment="1">
      <alignment horizontal="center" wrapText="1"/>
    </xf>
    <xf numFmtId="0" fontId="8" fillId="0" borderId="36" xfId="0" applyFont="1" applyBorder="1" applyAlignment="1">
      <alignment horizontal="center" wrapText="1"/>
    </xf>
    <xf numFmtId="0" fontId="8" fillId="0" borderId="6" xfId="0" applyFont="1" applyBorder="1" applyAlignment="1">
      <alignment horizontal="center" vertical="center" wrapText="1"/>
    </xf>
    <xf numFmtId="0" fontId="48" fillId="2" borderId="42" xfId="0" applyFont="1" applyFill="1" applyBorder="1" applyAlignment="1">
      <alignment horizontal="center" vertical="center"/>
    </xf>
    <xf numFmtId="0" fontId="48" fillId="2" borderId="43" xfId="0" applyFont="1" applyFill="1" applyBorder="1" applyAlignment="1">
      <alignment horizontal="center" vertical="center"/>
    </xf>
    <xf numFmtId="0" fontId="45" fillId="2" borderId="4" xfId="0" applyFont="1" applyFill="1" applyBorder="1" applyAlignment="1" applyProtection="1">
      <alignment horizontal="center" vertical="center" wrapText="1"/>
      <protection locked="0"/>
    </xf>
    <xf numFmtId="0" fontId="45" fillId="2" borderId="6" xfId="0" applyFont="1" applyFill="1" applyBorder="1" applyAlignment="1" applyProtection="1">
      <alignment horizontal="center" vertical="center" wrapText="1"/>
      <protection locked="0"/>
    </xf>
    <xf numFmtId="0" fontId="45" fillId="2" borderId="2" xfId="0" applyFont="1" applyFill="1" applyBorder="1" applyAlignment="1" applyProtection="1">
      <alignment horizontal="center" vertical="center" wrapText="1"/>
      <protection locked="0"/>
    </xf>
    <xf numFmtId="0" fontId="48" fillId="2" borderId="9" xfId="0" applyFont="1" applyFill="1" applyBorder="1" applyAlignment="1">
      <alignment horizontal="center" vertical="center"/>
    </xf>
    <xf numFmtId="0" fontId="45" fillId="2" borderId="22" xfId="0" applyFont="1" applyFill="1" applyBorder="1" applyAlignment="1">
      <alignment horizontal="center" vertical="center"/>
    </xf>
    <xf numFmtId="0" fontId="45" fillId="2" borderId="36" xfId="0" applyFont="1" applyFill="1" applyBorder="1" applyAlignment="1">
      <alignment horizontal="center" vertical="center"/>
    </xf>
    <xf numFmtId="0" fontId="48" fillId="2" borderId="22" xfId="0" applyFont="1" applyFill="1" applyBorder="1" applyAlignment="1">
      <alignment horizontal="center" vertical="center"/>
    </xf>
    <xf numFmtId="0" fontId="48" fillId="2" borderId="36" xfId="0" applyFont="1" applyFill="1" applyBorder="1" applyAlignment="1">
      <alignment horizontal="center" vertical="center"/>
    </xf>
    <xf numFmtId="0" fontId="45" fillId="2" borderId="1" xfId="0" applyFont="1" applyFill="1" applyBorder="1" applyAlignment="1"/>
    <xf numFmtId="165" fontId="45" fillId="2" borderId="1" xfId="0" applyNumberFormat="1" applyFont="1" applyFill="1" applyBorder="1" applyAlignment="1"/>
    <xf numFmtId="0" fontId="45" fillId="2" borderId="4" xfId="0" applyFont="1" applyFill="1" applyBorder="1" applyAlignment="1">
      <alignment wrapText="1"/>
    </xf>
    <xf numFmtId="0" fontId="45" fillId="2" borderId="2" xfId="0" applyFont="1" applyFill="1" applyBorder="1" applyAlignment="1">
      <alignment wrapText="1"/>
    </xf>
    <xf numFmtId="0" fontId="49" fillId="2" borderId="0" xfId="0" applyFont="1" applyFill="1" applyAlignment="1">
      <alignment horizontal="center" vertical="center"/>
    </xf>
    <xf numFmtId="0" fontId="47" fillId="2" borderId="0" xfId="0" applyFont="1" applyFill="1" applyAlignment="1">
      <alignment horizontal="center" vertical="center"/>
    </xf>
    <xf numFmtId="0" fontId="47" fillId="2" borderId="0" xfId="0" applyFont="1" applyFill="1" applyBorder="1" applyAlignment="1">
      <alignment horizontal="center" vertical="center"/>
    </xf>
    <xf numFmtId="0" fontId="44" fillId="2" borderId="0" xfId="0" applyFont="1" applyFill="1" applyAlignment="1"/>
    <xf numFmtId="0" fontId="61" fillId="2" borderId="9" xfId="0" applyFont="1" applyFill="1" applyBorder="1" applyAlignment="1" applyProtection="1">
      <alignment horizontal="center" vertical="center" wrapText="1"/>
      <protection locked="0"/>
    </xf>
    <xf numFmtId="0" fontId="61" fillId="2" borderId="36" xfId="0" applyFont="1" applyFill="1" applyBorder="1" applyAlignment="1" applyProtection="1">
      <alignment horizontal="center" vertical="center" wrapText="1"/>
      <protection locked="0"/>
    </xf>
    <xf numFmtId="0" fontId="51" fillId="2" borderId="0" xfId="0" applyFont="1" applyFill="1" applyBorder="1" applyAlignment="1">
      <alignment horizontal="center" vertical="center"/>
    </xf>
    <xf numFmtId="0" fontId="46" fillId="2" borderId="0" xfId="0" applyFont="1" applyFill="1" applyAlignment="1">
      <alignment horizontal="center" vertical="center"/>
    </xf>
    <xf numFmtId="0" fontId="46" fillId="2" borderId="0" xfId="0" applyFont="1" applyFill="1" applyBorder="1" applyAlignment="1">
      <alignment horizontal="center" vertical="center"/>
    </xf>
    <xf numFmtId="0" fontId="51" fillId="2" borderId="0" xfId="0" applyNumberFormat="1" applyFont="1" applyFill="1" applyBorder="1" applyAlignment="1">
      <alignment horizontal="center" vertical="center"/>
    </xf>
    <xf numFmtId="0" fontId="45" fillId="2" borderId="0" xfId="0" applyFont="1" applyFill="1" applyAlignment="1">
      <alignment horizontal="center" vertical="center"/>
    </xf>
    <xf numFmtId="0" fontId="45" fillId="2" borderId="4" xfId="0" applyFont="1" applyFill="1" applyBorder="1" applyAlignment="1" applyProtection="1">
      <alignment horizontal="center" vertical="center"/>
      <protection locked="0"/>
    </xf>
    <xf numFmtId="0" fontId="45" fillId="2" borderId="6" xfId="0" applyFont="1" applyFill="1" applyBorder="1" applyAlignment="1" applyProtection="1">
      <alignment horizontal="center" vertical="center"/>
      <protection locked="0"/>
    </xf>
    <xf numFmtId="0" fontId="45" fillId="2" borderId="2" xfId="0" applyFont="1" applyFill="1" applyBorder="1" applyAlignment="1" applyProtection="1">
      <alignment horizontal="center" vertical="center"/>
      <protection locked="0"/>
    </xf>
    <xf numFmtId="0" fontId="61" fillId="2" borderId="40" xfId="0" applyFont="1" applyFill="1" applyBorder="1" applyAlignment="1" applyProtection="1">
      <alignment horizontal="center" vertical="center" wrapText="1"/>
      <protection locked="0"/>
    </xf>
    <xf numFmtId="0" fontId="45" fillId="2" borderId="41" xfId="0" applyFont="1" applyFill="1" applyBorder="1" applyAlignment="1" applyProtection="1">
      <alignment horizontal="center" vertical="center" wrapText="1"/>
      <protection locked="0"/>
    </xf>
    <xf numFmtId="0" fontId="45" fillId="2" borderId="38" xfId="0" applyFont="1" applyFill="1" applyBorder="1" applyAlignment="1" applyProtection="1">
      <alignment horizontal="center" vertical="center" wrapText="1"/>
      <protection locked="0"/>
    </xf>
    <xf numFmtId="0" fontId="45" fillId="2" borderId="9" xfId="0" applyFont="1" applyFill="1" applyBorder="1" applyAlignment="1" applyProtection="1">
      <alignment horizontal="center" vertical="center"/>
      <protection locked="0"/>
    </xf>
    <xf numFmtId="0" fontId="45" fillId="2" borderId="36" xfId="0" applyFont="1" applyFill="1" applyBorder="1" applyAlignment="1" applyProtection="1">
      <alignment horizontal="center" vertical="center"/>
      <protection locked="0"/>
    </xf>
    <xf numFmtId="0" fontId="45" fillId="2" borderId="9" xfId="0" applyFont="1" applyFill="1" applyBorder="1" applyAlignment="1" applyProtection="1">
      <alignment horizontal="center" vertical="center" wrapText="1"/>
      <protection locked="0"/>
    </xf>
    <xf numFmtId="0" fontId="45" fillId="2" borderId="36" xfId="0" applyFont="1" applyFill="1" applyBorder="1" applyAlignment="1" applyProtection="1">
      <alignment horizontal="center" vertical="center" wrapText="1"/>
      <protection locked="0"/>
    </xf>
    <xf numFmtId="0" fontId="45" fillId="2" borderId="9" xfId="0" applyFont="1" applyFill="1" applyBorder="1" applyAlignment="1">
      <alignment horizontal="center" vertical="center"/>
    </xf>
    <xf numFmtId="0" fontId="8" fillId="0" borderId="0" xfId="0" applyFont="1" applyAlignment="1">
      <alignment horizontal="left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/>
    </xf>
    <xf numFmtId="0" fontId="12" fillId="0" borderId="17" xfId="0" applyFont="1" applyBorder="1" applyAlignment="1">
      <alignment horizontal="center"/>
    </xf>
    <xf numFmtId="0" fontId="1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2" fontId="4" fillId="0" borderId="17" xfId="0" applyNumberFormat="1" applyFont="1" applyBorder="1" applyAlignment="1">
      <alignment horizontal="center" vertical="top"/>
    </xf>
    <xf numFmtId="0" fontId="4" fillId="2" borderId="9" xfId="0" applyFont="1" applyFill="1" applyBorder="1" applyAlignment="1">
      <alignment horizontal="center"/>
    </xf>
    <xf numFmtId="0" fontId="4" fillId="2" borderId="22" xfId="0" applyFont="1" applyFill="1" applyBorder="1" applyAlignment="1">
      <alignment horizontal="center"/>
    </xf>
    <xf numFmtId="0" fontId="4" fillId="2" borderId="36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4" fillId="2" borderId="36" xfId="0" applyFont="1" applyFill="1" applyBorder="1" applyAlignment="1">
      <alignment horizontal="center" vertical="center"/>
    </xf>
    <xf numFmtId="0" fontId="12" fillId="2" borderId="14" xfId="0" applyFont="1" applyFill="1" applyBorder="1" applyAlignment="1">
      <alignment horizontal="center" vertical="center"/>
    </xf>
    <xf numFmtId="0" fontId="0" fillId="0" borderId="17" xfId="0" applyBorder="1" applyAlignment="1">
      <alignment horizontal="center"/>
    </xf>
    <xf numFmtId="0" fontId="0" fillId="0" borderId="34" xfId="0" applyBorder="1" applyAlignment="1">
      <alignment horizontal="center"/>
    </xf>
    <xf numFmtId="0" fontId="4" fillId="2" borderId="4" xfId="0" applyFont="1" applyFill="1" applyBorder="1" applyAlignment="1" applyProtection="1">
      <alignment horizontal="center" vertical="center" wrapText="1"/>
      <protection locked="0"/>
    </xf>
    <xf numFmtId="0" fontId="4" fillId="2" borderId="2" xfId="0" applyFont="1" applyFill="1" applyBorder="1" applyAlignment="1" applyProtection="1">
      <alignment horizontal="center" vertical="center" wrapText="1"/>
      <protection locked="0"/>
    </xf>
    <xf numFmtId="0" fontId="4" fillId="2" borderId="18" xfId="0" applyFont="1" applyFill="1" applyBorder="1" applyAlignment="1" applyProtection="1">
      <alignment horizontal="center" vertical="center" wrapText="1"/>
      <protection locked="0"/>
    </xf>
    <xf numFmtId="0" fontId="4" fillId="2" borderId="14" xfId="0" applyFont="1" applyFill="1" applyBorder="1" applyAlignment="1" applyProtection="1">
      <alignment horizontal="center" vertical="center" wrapText="1"/>
      <protection locked="0"/>
    </xf>
    <xf numFmtId="0" fontId="27" fillId="2" borderId="9" xfId="0" applyFont="1" applyFill="1" applyBorder="1" applyAlignment="1" applyProtection="1">
      <alignment horizontal="center" vertical="center" wrapText="1"/>
      <protection locked="0"/>
    </xf>
    <xf numFmtId="0" fontId="27" fillId="2" borderId="36" xfId="0" applyFont="1" applyFill="1" applyBorder="1" applyAlignment="1" applyProtection="1">
      <alignment horizontal="center" vertical="center" wrapText="1"/>
      <protection locked="0"/>
    </xf>
    <xf numFmtId="0" fontId="27" fillId="2" borderId="22" xfId="0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4" fillId="2" borderId="4" xfId="0" applyFont="1" applyFill="1" applyBorder="1" applyAlignment="1" applyProtection="1">
      <alignment horizontal="center" vertical="center"/>
      <protection locked="0"/>
    </xf>
    <xf numFmtId="0" fontId="4" fillId="2" borderId="6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24" fillId="2" borderId="0" xfId="0" applyFont="1" applyFill="1" applyAlignment="1"/>
    <xf numFmtId="0" fontId="7" fillId="2" borderId="0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7" fillId="2" borderId="0" xfId="0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/>
    <xf numFmtId="165" fontId="4" fillId="2" borderId="1" xfId="0" applyNumberFormat="1" applyFont="1" applyFill="1" applyBorder="1" applyAlignment="1"/>
    <xf numFmtId="0" fontId="4" fillId="2" borderId="4" xfId="0" applyFont="1" applyFill="1" applyBorder="1" applyAlignment="1">
      <alignment wrapText="1"/>
    </xf>
    <xf numFmtId="0" fontId="4" fillId="2" borderId="2" xfId="0" applyFont="1" applyFill="1" applyBorder="1" applyAlignment="1">
      <alignment wrapText="1"/>
    </xf>
  </cellXfs>
  <cellStyles count="13">
    <cellStyle name="Comma 2" xfId="1" xr:uid="{00000000-0005-0000-0000-000000000000}"/>
    <cellStyle name="Гиперссылка" xfId="2" builtinId="8"/>
    <cellStyle name="Обычный" xfId="0" builtinId="0"/>
    <cellStyle name="Обычный 2" xfId="3" xr:uid="{00000000-0005-0000-0000-000003000000}"/>
    <cellStyle name="Обычный 2 2" xfId="4" xr:uid="{00000000-0005-0000-0000-000004000000}"/>
    <cellStyle name="Обычный 2 3" xfId="5" xr:uid="{00000000-0005-0000-0000-000005000000}"/>
    <cellStyle name="Обычный 3" xfId="6" xr:uid="{00000000-0005-0000-0000-000006000000}"/>
    <cellStyle name="Обычный 4" xfId="7" xr:uid="{00000000-0005-0000-0000-000007000000}"/>
    <cellStyle name="Обычный 5" xfId="8" xr:uid="{00000000-0005-0000-0000-000008000000}"/>
    <cellStyle name="Обычный 6" xfId="9" xr:uid="{00000000-0005-0000-0000-000009000000}"/>
    <cellStyle name="Обычный_образец нормы  2014г. -додаток 3" xfId="10" xr:uid="{00000000-0005-0000-0000-00000A000000}"/>
    <cellStyle name="Финансовый 2" xfId="11" xr:uid="{00000000-0005-0000-0000-00000B000000}"/>
    <cellStyle name="Финансовый 3" xfId="12" xr:uid="{00000000-0005-0000-0000-00000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iemnaya\&#1086;&#1073;&#1084;&#1077;&#1085;\Documents%20and%20Settings\1\&#1056;&#1072;&#1073;&#1086;&#1095;&#1080;&#1081;%20&#1089;&#1090;&#1086;&#1083;\&#1077;&#1082;&#1086;&#1085;&#1086;&#1084;&#1110;&#1089;&#1090;\&#1056;&#1086;&#1079;&#1088;&#1072;&#1093;&#1091;&#1085;&#1086;&#1082;%20&#1076;&#1074;&#1086;&#1089;&#1090;&#1072;&#1074;&#1082;&#1086;&#1074;&#1086;&#1075;&#1086;%20&#1090;&#1072;&#1088;&#1080;&#1092;&#1091;%202007\Tarif_Teplo_2st_Shablon_200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міст"/>
      <sheetName val="Вхідні дані"/>
      <sheetName val="Обсяги послуг_навантаж"/>
      <sheetName val="Бази розподілу"/>
      <sheetName val="Проект тарифів_1ст"/>
      <sheetName val="Проект доходів_1ст"/>
      <sheetName val="Проект доходів_2ст"/>
      <sheetName val="Проект тарифів_2ст"/>
      <sheetName val="Вартість_2ст"/>
      <sheetName val="Собівартість_2ст"/>
      <sheetName val="Витрати_всього"/>
      <sheetName val="Прямі"/>
      <sheetName val="Загальновиробничі"/>
      <sheetName val="Адміністративні"/>
      <sheetName val="Збут"/>
      <sheetName val="Інші_операц"/>
      <sheetName val="Паливо_1ст"/>
      <sheetName val="Паливо_2ст"/>
      <sheetName val="Електр_енерг_1ст"/>
      <sheetName val="Електр_енерг_2ст"/>
      <sheetName val="Електр_енерг_2ст (2)"/>
      <sheetName val="Вода_Водовід"/>
      <sheetName val="Мат_витр"/>
      <sheetName val="Охорона_праці"/>
      <sheetName val="Амортизац_2005"/>
      <sheetName val="Амортизац_2006 "/>
      <sheetName val="ЗП_Всього по під-ву"/>
      <sheetName val="ЗП_Виробнич"/>
      <sheetName val="ЗП_Загальновир"/>
      <sheetName val="ЗП_Адміністр"/>
      <sheetName val="ЗП_Збут"/>
      <sheetName val="Чисельн_працівн"/>
      <sheetName val="Комунальн_посл"/>
      <sheetName val="Зв'язок"/>
      <sheetName val="Подат_Збори"/>
      <sheetName val="Фін_витр"/>
      <sheetName val="Ремонт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earch.ligazakon.ua/l_doc2.nsf/link1/RE24317.htm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P31"/>
  <sheetViews>
    <sheetView workbookViewId="0">
      <selection activeCell="B2" sqref="B2:E2"/>
    </sheetView>
  </sheetViews>
  <sheetFormatPr defaultColWidth="9.140625" defaultRowHeight="12.75" x14ac:dyDescent="0.2"/>
  <cols>
    <col min="1" max="1" width="9.28515625" style="341" customWidth="1"/>
    <col min="2" max="2" width="23.85546875" style="341" customWidth="1"/>
    <col min="3" max="3" width="9.7109375" style="341" customWidth="1"/>
    <col min="4" max="4" width="8.140625" style="341" customWidth="1"/>
    <col min="5" max="5" width="8.42578125" style="341" customWidth="1"/>
    <col min="6" max="6" width="8.5703125" style="341" customWidth="1"/>
    <col min="7" max="7" width="8.140625" style="341" customWidth="1"/>
    <col min="8" max="8" width="8.28515625" style="341" customWidth="1"/>
    <col min="9" max="9" width="8.42578125" style="341" customWidth="1"/>
    <col min="10" max="11" width="7.140625" style="341" customWidth="1"/>
    <col min="12" max="12" width="7.42578125" style="341" customWidth="1"/>
    <col min="13" max="15" width="8.28515625" style="341" customWidth="1"/>
    <col min="16" max="16" width="2.5703125" style="341" customWidth="1"/>
    <col min="17" max="16384" width="9.140625" style="341"/>
  </cols>
  <sheetData>
    <row r="1" spans="1:16" customFormat="1" ht="15.75" x14ac:dyDescent="0.25">
      <c r="B1" s="58" t="s">
        <v>231</v>
      </c>
      <c r="C1" s="4"/>
      <c r="D1" s="4"/>
      <c r="E1" s="4"/>
      <c r="F1" s="4"/>
      <c r="G1" s="4"/>
      <c r="H1" s="4"/>
      <c r="K1" s="336" t="s">
        <v>232</v>
      </c>
      <c r="M1" s="4"/>
      <c r="N1" s="4"/>
      <c r="O1" s="4"/>
      <c r="P1" s="4"/>
    </row>
    <row r="2" spans="1:16" s="57" customFormat="1" ht="45" customHeight="1" x14ac:dyDescent="0.25">
      <c r="B2" s="460" t="s">
        <v>233</v>
      </c>
      <c r="C2" s="461"/>
      <c r="D2" s="461"/>
      <c r="E2" s="461"/>
      <c r="F2" s="4"/>
      <c r="G2" s="4"/>
      <c r="H2" s="4"/>
      <c r="K2" s="462" t="s">
        <v>234</v>
      </c>
      <c r="L2" s="463"/>
      <c r="M2" s="463"/>
      <c r="N2" s="463"/>
      <c r="O2" s="463"/>
      <c r="P2" s="337"/>
    </row>
    <row r="3" spans="1:16" customFormat="1" ht="19.149999999999999" customHeight="1" x14ac:dyDescent="0.25">
      <c r="B3" s="338" t="s">
        <v>235</v>
      </c>
      <c r="C3" s="338" t="s">
        <v>236</v>
      </c>
      <c r="D3" s="339"/>
      <c r="E3" s="4"/>
      <c r="F3" s="4"/>
      <c r="G3" s="4"/>
      <c r="H3" s="4"/>
      <c r="K3" s="336" t="s">
        <v>237</v>
      </c>
      <c r="M3" s="58"/>
      <c r="N3" s="4"/>
      <c r="O3" s="4"/>
      <c r="P3" s="4"/>
    </row>
    <row r="4" spans="1:16" customFormat="1" ht="18" customHeight="1" x14ac:dyDescent="0.25">
      <c r="B4" s="339" t="s">
        <v>238</v>
      </c>
      <c r="C4" s="339"/>
      <c r="D4" s="339"/>
      <c r="E4" s="4"/>
      <c r="F4" s="4"/>
      <c r="G4" s="4"/>
      <c r="H4" s="4"/>
      <c r="K4" s="340" t="s">
        <v>239</v>
      </c>
      <c r="M4" s="4"/>
      <c r="N4" s="4"/>
      <c r="O4" s="4"/>
      <c r="P4" s="4"/>
    </row>
    <row r="5" spans="1:16" x14ac:dyDescent="0.2">
      <c r="I5" s="464"/>
      <c r="J5" s="464"/>
      <c r="K5" s="464"/>
      <c r="L5" s="464"/>
      <c r="M5" s="464"/>
      <c r="N5" s="464"/>
      <c r="O5" s="464"/>
    </row>
    <row r="6" spans="1:16" ht="18.75" customHeight="1" x14ac:dyDescent="0.25">
      <c r="B6" s="339"/>
      <c r="C6" s="339"/>
      <c r="D6" s="339"/>
      <c r="E6" s="339"/>
      <c r="F6" s="339"/>
      <c r="G6" s="339"/>
      <c r="H6" s="339"/>
      <c r="J6" s="342"/>
      <c r="M6" s="339"/>
      <c r="N6" s="339"/>
      <c r="O6" s="339"/>
      <c r="P6" s="339"/>
    </row>
    <row r="7" spans="1:16" ht="31.7" customHeight="1" x14ac:dyDescent="0.25">
      <c r="A7" s="465" t="s">
        <v>240</v>
      </c>
      <c r="B7" s="465"/>
      <c r="C7" s="465"/>
      <c r="D7" s="465"/>
      <c r="E7" s="465"/>
      <c r="F7" s="465"/>
      <c r="G7" s="465"/>
      <c r="H7" s="465"/>
      <c r="I7" s="465"/>
      <c r="J7" s="465"/>
      <c r="K7" s="465"/>
      <c r="L7" s="465"/>
      <c r="M7" s="465"/>
      <c r="N7" s="465"/>
      <c r="O7" s="465"/>
    </row>
    <row r="8" spans="1:16" ht="15.75" x14ac:dyDescent="0.25">
      <c r="A8" s="343"/>
      <c r="B8" s="343"/>
      <c r="C8" s="343"/>
      <c r="D8" s="343"/>
      <c r="E8" s="343"/>
      <c r="F8" s="343"/>
      <c r="G8" s="343"/>
      <c r="H8" s="343"/>
      <c r="I8" s="343"/>
      <c r="J8" s="343"/>
      <c r="K8" s="343"/>
      <c r="L8" s="343"/>
      <c r="M8" s="343"/>
      <c r="N8" s="343"/>
      <c r="O8" s="343"/>
    </row>
    <row r="9" spans="1:16" s="345" customFormat="1" ht="48.75" customHeight="1" x14ac:dyDescent="0.2">
      <c r="A9" s="466" t="s">
        <v>241</v>
      </c>
      <c r="B9" s="466"/>
      <c r="C9" s="466"/>
      <c r="D9" s="466" t="s">
        <v>242</v>
      </c>
      <c r="E9" s="466"/>
      <c r="F9" s="466"/>
      <c r="G9" s="466" t="s">
        <v>243</v>
      </c>
      <c r="H9" s="466"/>
      <c r="I9" s="466"/>
      <c r="J9" s="466" t="s">
        <v>244</v>
      </c>
      <c r="K9" s="466"/>
      <c r="L9" s="466"/>
      <c r="M9" s="466" t="s">
        <v>245</v>
      </c>
      <c r="N9" s="466"/>
      <c r="O9" s="466"/>
    </row>
    <row r="10" spans="1:16" s="348" customFormat="1" ht="32.450000000000003" customHeight="1" x14ac:dyDescent="0.2">
      <c r="A10" s="346" t="s">
        <v>246</v>
      </c>
      <c r="B10" s="347" t="s">
        <v>9</v>
      </c>
      <c r="C10" s="347" t="s">
        <v>212</v>
      </c>
      <c r="D10" s="346">
        <v>2018</v>
      </c>
      <c r="E10" s="346">
        <v>2019</v>
      </c>
      <c r="F10" s="346">
        <v>2020</v>
      </c>
      <c r="G10" s="346">
        <v>2018</v>
      </c>
      <c r="H10" s="346">
        <v>2019</v>
      </c>
      <c r="I10" s="346">
        <v>2020</v>
      </c>
      <c r="J10" s="346">
        <v>2018</v>
      </c>
      <c r="K10" s="346">
        <v>2019</v>
      </c>
      <c r="L10" s="346">
        <v>2020</v>
      </c>
      <c r="M10" s="346">
        <v>2018</v>
      </c>
      <c r="N10" s="346">
        <v>2019</v>
      </c>
      <c r="O10" s="346">
        <v>2020</v>
      </c>
    </row>
    <row r="11" spans="1:16" ht="47.25" x14ac:dyDescent="0.25">
      <c r="A11" s="344">
        <v>6030</v>
      </c>
      <c r="B11" s="349" t="s">
        <v>247</v>
      </c>
      <c r="C11" s="346" t="s">
        <v>48</v>
      </c>
      <c r="D11" s="350">
        <v>19946</v>
      </c>
      <c r="E11" s="350">
        <v>20485</v>
      </c>
      <c r="F11" s="400" t="e">
        <f>'удел. затраты топлива'!K30</f>
        <v>#REF!</v>
      </c>
      <c r="G11" s="351">
        <v>165.5</v>
      </c>
      <c r="H11" s="351">
        <v>165.15</v>
      </c>
      <c r="I11" s="399" t="e">
        <f>'удел. затраты топлива'!H32</f>
        <v>#REF!</v>
      </c>
      <c r="J11" s="346" t="s">
        <v>40</v>
      </c>
      <c r="K11" s="346" t="s">
        <v>40</v>
      </c>
      <c r="L11" s="346" t="s">
        <v>40</v>
      </c>
      <c r="M11" s="352">
        <v>25.1</v>
      </c>
      <c r="N11" s="352">
        <v>30.4</v>
      </c>
      <c r="O11" s="401" t="e">
        <f>'удел. затраты топлива'!H38</f>
        <v>#REF!</v>
      </c>
    </row>
    <row r="12" spans="1:16" ht="31.5" x14ac:dyDescent="0.25">
      <c r="A12" s="346" t="s">
        <v>40</v>
      </c>
      <c r="B12" s="353" t="s">
        <v>248</v>
      </c>
      <c r="C12" s="346" t="s">
        <v>48</v>
      </c>
      <c r="D12" s="354">
        <v>618</v>
      </c>
      <c r="E12" s="354">
        <v>2547</v>
      </c>
      <c r="F12" s="402" t="e">
        <f>'удел. затраты топлива'!E41</f>
        <v>#REF!</v>
      </c>
      <c r="G12" s="355" t="s">
        <v>40</v>
      </c>
      <c r="H12" s="355" t="s">
        <v>40</v>
      </c>
      <c r="I12" s="356" t="s">
        <v>40</v>
      </c>
      <c r="J12" s="357">
        <v>3.1</v>
      </c>
      <c r="K12" s="357">
        <v>12.4</v>
      </c>
      <c r="L12" s="401" t="e">
        <f>'удел. затраты топлива'!H41</f>
        <v>#REF!</v>
      </c>
      <c r="M12" s="358" t="s">
        <v>40</v>
      </c>
      <c r="N12" s="358" t="s">
        <v>40</v>
      </c>
      <c r="O12" s="359" t="s">
        <v>40</v>
      </c>
    </row>
    <row r="13" spans="1:16" ht="15.75" x14ac:dyDescent="0.25">
      <c r="A13" s="467" t="s">
        <v>249</v>
      </c>
      <c r="B13" s="467"/>
      <c r="C13" s="346"/>
      <c r="D13" s="354" t="s">
        <v>40</v>
      </c>
      <c r="E13" s="354" t="s">
        <v>40</v>
      </c>
      <c r="F13" s="354" t="s">
        <v>40</v>
      </c>
      <c r="G13" s="354" t="s">
        <v>40</v>
      </c>
      <c r="H13" s="354" t="s">
        <v>40</v>
      </c>
      <c r="I13" s="354" t="s">
        <v>40</v>
      </c>
      <c r="J13" s="354" t="s">
        <v>40</v>
      </c>
      <c r="K13" s="354" t="s">
        <v>40</v>
      </c>
      <c r="L13" s="354" t="s">
        <v>40</v>
      </c>
      <c r="M13" s="354" t="s">
        <v>40</v>
      </c>
      <c r="N13" s="354" t="s">
        <v>40</v>
      </c>
      <c r="O13" s="354" t="s">
        <v>40</v>
      </c>
    </row>
    <row r="14" spans="1:16" ht="20.25" customHeight="1" x14ac:dyDescent="0.25">
      <c r="A14" s="339" t="s">
        <v>250</v>
      </c>
      <c r="B14" s="339"/>
      <c r="C14" s="339"/>
      <c r="D14" s="339"/>
      <c r="E14" s="339"/>
      <c r="F14" s="339"/>
      <c r="G14" s="339"/>
      <c r="H14" s="339"/>
      <c r="I14" s="339"/>
      <c r="J14" s="339"/>
      <c r="K14" s="339"/>
      <c r="L14" s="339"/>
      <c r="M14" s="339"/>
      <c r="N14" s="339"/>
      <c r="O14" s="339"/>
    </row>
    <row r="15" spans="1:16" ht="31.7" customHeight="1" x14ac:dyDescent="0.2">
      <c r="A15" s="455" t="s">
        <v>251</v>
      </c>
      <c r="B15" s="455"/>
      <c r="C15" s="455"/>
      <c r="D15" s="455"/>
      <c r="E15" s="455"/>
      <c r="F15" s="455"/>
      <c r="G15" s="455"/>
      <c r="H15" s="455"/>
      <c r="I15" s="455"/>
      <c r="J15" s="455"/>
      <c r="K15" s="455"/>
      <c r="L15" s="455"/>
      <c r="M15" s="455"/>
      <c r="N15" s="455"/>
      <c r="O15" s="455"/>
    </row>
    <row r="16" spans="1:16" ht="25.5" customHeight="1" x14ac:dyDescent="0.2">
      <c r="A16" s="456" t="s">
        <v>252</v>
      </c>
      <c r="B16" s="456"/>
      <c r="C16" s="456"/>
      <c r="D16" s="456"/>
      <c r="E16" s="456"/>
      <c r="F16" s="456"/>
      <c r="G16" s="456"/>
      <c r="H16" s="456"/>
      <c r="I16" s="456"/>
      <c r="J16" s="456"/>
      <c r="K16" s="456"/>
      <c r="L16" s="456"/>
      <c r="M16" s="456"/>
      <c r="N16" s="456"/>
      <c r="O16" s="456"/>
    </row>
    <row r="17" spans="1:16" ht="27" customHeight="1" x14ac:dyDescent="0.2">
      <c r="A17" s="456" t="s">
        <v>253</v>
      </c>
      <c r="B17" s="457"/>
      <c r="C17" s="457"/>
      <c r="D17" s="457"/>
      <c r="E17" s="457"/>
      <c r="F17" s="457"/>
      <c r="G17" s="457"/>
      <c r="H17" s="457"/>
      <c r="I17" s="457"/>
      <c r="J17" s="457"/>
      <c r="K17" s="457"/>
      <c r="L17" s="457"/>
      <c r="M17" s="457"/>
      <c r="N17" s="457"/>
      <c r="O17" s="457"/>
    </row>
    <row r="18" spans="1:16" s="362" customFormat="1" ht="21.75" customHeight="1" x14ac:dyDescent="0.25">
      <c r="A18" s="360" t="s">
        <v>254</v>
      </c>
      <c r="B18" s="361"/>
      <c r="C18" s="361"/>
      <c r="D18" s="361"/>
      <c r="E18" s="361"/>
      <c r="F18" s="361"/>
      <c r="G18" s="361"/>
      <c r="H18" s="361"/>
      <c r="I18" s="361"/>
      <c r="J18" s="361"/>
      <c r="K18" s="361"/>
      <c r="L18" s="361"/>
      <c r="M18" s="361"/>
      <c r="N18" s="361"/>
      <c r="O18" s="361"/>
    </row>
    <row r="19" spans="1:16" s="365" customFormat="1" ht="13.7" customHeight="1" x14ac:dyDescent="0.25">
      <c r="A19" s="458" t="s">
        <v>255</v>
      </c>
      <c r="B19" s="459"/>
      <c r="C19" s="459"/>
      <c r="D19" s="459"/>
      <c r="E19" s="459"/>
      <c r="F19" s="459"/>
      <c r="G19" s="459"/>
      <c r="H19" s="459"/>
      <c r="I19" s="459"/>
      <c r="J19" s="459"/>
      <c r="K19" s="459"/>
      <c r="L19" s="459"/>
      <c r="M19" s="459"/>
      <c r="N19" s="459"/>
      <c r="O19" s="459"/>
    </row>
    <row r="20" spans="1:16" ht="13.7" customHeight="1" x14ac:dyDescent="0.25">
      <c r="A20" s="363"/>
      <c r="B20" s="364"/>
      <c r="C20" s="364"/>
      <c r="D20" s="364"/>
      <c r="E20" s="364"/>
      <c r="F20" s="364"/>
      <c r="G20" s="364"/>
      <c r="H20" s="364"/>
      <c r="I20" s="364"/>
      <c r="J20" s="364"/>
      <c r="K20" s="364"/>
      <c r="L20" s="364"/>
      <c r="M20" s="364"/>
      <c r="N20" s="364"/>
      <c r="O20" s="364"/>
    </row>
    <row r="21" spans="1:16" ht="13.7" customHeight="1" x14ac:dyDescent="0.25">
      <c r="A21" s="363"/>
      <c r="B21" s="364"/>
      <c r="C21" s="364"/>
      <c r="D21" s="364"/>
      <c r="E21" s="364"/>
      <c r="F21" s="364"/>
      <c r="G21" s="364"/>
      <c r="H21" s="364"/>
      <c r="I21" s="364"/>
      <c r="J21" s="364"/>
      <c r="K21" s="364"/>
      <c r="L21" s="364"/>
      <c r="M21" s="364"/>
      <c r="N21" s="364"/>
      <c r="O21" s="364"/>
    </row>
    <row r="22" spans="1:16" customFormat="1" ht="15.75" x14ac:dyDescent="0.25">
      <c r="A22" s="366" t="s">
        <v>256</v>
      </c>
      <c r="C22" s="4"/>
      <c r="D22" s="4"/>
      <c r="E22" s="4"/>
      <c r="F22" s="4"/>
      <c r="G22" s="4"/>
      <c r="K22" s="4"/>
      <c r="L22" s="4"/>
      <c r="M22" s="366" t="s">
        <v>185</v>
      </c>
      <c r="N22" s="4"/>
      <c r="O22" s="4"/>
      <c r="P22" s="4"/>
    </row>
    <row r="23" spans="1:16" customFormat="1" ht="6.75" customHeight="1" x14ac:dyDescent="0.25">
      <c r="A23" s="366"/>
      <c r="C23" s="4"/>
      <c r="D23" s="4"/>
      <c r="E23" s="4"/>
      <c r="F23" s="4"/>
      <c r="G23" s="4"/>
      <c r="K23" s="4"/>
      <c r="L23" s="4"/>
      <c r="M23" s="366"/>
      <c r="N23" s="4"/>
      <c r="O23" s="4"/>
      <c r="P23" s="4"/>
    </row>
    <row r="24" spans="1:16" s="367" customFormat="1" ht="11.25" x14ac:dyDescent="0.2">
      <c r="B24" s="59"/>
      <c r="C24" s="59"/>
      <c r="D24" s="59"/>
      <c r="E24" s="59"/>
      <c r="F24" s="59"/>
      <c r="G24" s="59"/>
      <c r="H24" s="59"/>
      <c r="I24" s="59"/>
      <c r="J24" s="59"/>
      <c r="K24" s="59"/>
      <c r="L24" s="59"/>
      <c r="M24" s="59"/>
      <c r="N24" s="59"/>
    </row>
    <row r="25" spans="1:16" ht="15.75" x14ac:dyDescent="0.25">
      <c r="A25" s="368"/>
      <c r="B25" s="368"/>
      <c r="C25" s="368"/>
      <c r="D25" s="368"/>
      <c r="E25" s="339"/>
      <c r="F25" s="339"/>
      <c r="G25" s="339"/>
      <c r="H25" s="339"/>
      <c r="I25" s="339"/>
      <c r="J25" s="339"/>
      <c r="K25" s="339"/>
      <c r="L25" s="339"/>
      <c r="M25" s="339"/>
      <c r="N25" s="339"/>
      <c r="O25" s="339"/>
    </row>
    <row r="26" spans="1:16" ht="15.75" x14ac:dyDescent="0.25">
      <c r="A26" s="368"/>
      <c r="B26" s="369" t="s">
        <v>257</v>
      </c>
      <c r="C26" s="368"/>
      <c r="D26" s="368"/>
      <c r="E26" s="339"/>
      <c r="F26" s="339"/>
      <c r="G26" s="339"/>
      <c r="H26" s="339"/>
      <c r="I26" s="339"/>
      <c r="J26" s="339"/>
      <c r="K26" s="339"/>
      <c r="L26" s="339"/>
      <c r="M26" s="339"/>
      <c r="N26" s="339"/>
      <c r="O26" s="339"/>
    </row>
    <row r="27" spans="1:16" ht="5.25" customHeight="1" x14ac:dyDescent="0.25">
      <c r="A27" s="370"/>
      <c r="B27" s="371"/>
      <c r="C27" s="339"/>
      <c r="D27" s="339"/>
      <c r="E27" s="339"/>
      <c r="F27" s="339"/>
      <c r="G27" s="339"/>
      <c r="H27" s="339"/>
      <c r="I27" s="339"/>
      <c r="J27" s="339"/>
      <c r="K27" s="339"/>
      <c r="L27" s="339"/>
      <c r="M27" s="339"/>
      <c r="N27" s="339"/>
      <c r="O27" s="339"/>
    </row>
    <row r="28" spans="1:16" ht="15.75" x14ac:dyDescent="0.25">
      <c r="A28" s="370"/>
      <c r="B28" s="372" t="s">
        <v>258</v>
      </c>
      <c r="C28" s="372"/>
      <c r="D28" s="372"/>
      <c r="E28" s="372"/>
      <c r="F28" s="372"/>
      <c r="G28" s="372"/>
      <c r="H28" s="372"/>
      <c r="I28" s="372"/>
      <c r="J28" s="339"/>
      <c r="K28" s="339"/>
      <c r="L28" s="339"/>
      <c r="M28" s="339"/>
      <c r="N28" s="339"/>
      <c r="O28" s="339"/>
    </row>
    <row r="29" spans="1:16" ht="15.75" x14ac:dyDescent="0.25">
      <c r="A29" s="339"/>
      <c r="B29" s="372" t="s">
        <v>259</v>
      </c>
      <c r="C29" s="372"/>
      <c r="D29" s="372"/>
      <c r="E29" s="372"/>
      <c r="F29" s="372"/>
      <c r="G29" s="372"/>
      <c r="H29" s="372"/>
      <c r="I29" s="372"/>
      <c r="J29" s="339"/>
      <c r="K29" s="339"/>
      <c r="L29" s="339"/>
      <c r="M29" s="339"/>
      <c r="N29" s="339"/>
      <c r="O29" s="339"/>
    </row>
    <row r="30" spans="1:16" s="345" customFormat="1" ht="15.75" x14ac:dyDescent="0.25">
      <c r="B30" s="372" t="s">
        <v>260</v>
      </c>
      <c r="C30" s="372"/>
      <c r="D30" s="372"/>
      <c r="E30" s="372"/>
      <c r="F30" s="372"/>
      <c r="G30" s="372"/>
      <c r="H30" s="372"/>
      <c r="I30" s="372"/>
      <c r="J30" s="339"/>
      <c r="K30" s="339"/>
      <c r="L30" s="339"/>
      <c r="M30" s="339"/>
      <c r="N30" s="339"/>
      <c r="O30" s="339"/>
    </row>
    <row r="31" spans="1:16" ht="3.75" customHeight="1" x14ac:dyDescent="0.25">
      <c r="B31" s="339"/>
      <c r="C31" s="339"/>
      <c r="D31" s="339"/>
      <c r="E31" s="339"/>
      <c r="F31" s="339"/>
      <c r="G31" s="339"/>
      <c r="H31" s="339"/>
      <c r="I31" s="339"/>
      <c r="J31" s="339"/>
      <c r="K31" s="339"/>
      <c r="L31" s="339"/>
      <c r="M31" s="339"/>
      <c r="N31" s="339"/>
      <c r="O31" s="339"/>
    </row>
  </sheetData>
  <mergeCells count="14">
    <mergeCell ref="A15:O15"/>
    <mergeCell ref="A16:O16"/>
    <mergeCell ref="A17:O17"/>
    <mergeCell ref="A19:O19"/>
    <mergeCell ref="B2:E2"/>
    <mergeCell ref="K2:O2"/>
    <mergeCell ref="I5:O5"/>
    <mergeCell ref="A7:O7"/>
    <mergeCell ref="A9:C9"/>
    <mergeCell ref="D9:F9"/>
    <mergeCell ref="G9:I9"/>
    <mergeCell ref="J9:L9"/>
    <mergeCell ref="M9:O9"/>
    <mergeCell ref="A13:B13"/>
  </mergeCells>
  <hyperlinks>
    <hyperlink ref="A18" r:id="rId1" display="http://search.ligazakon.ua/l_doc2.nsf/link1/RE24317.html" xr:uid="{00000000-0004-0000-0000-000000000000}"/>
  </hyperlinks>
  <printOptions horizontalCentered="1"/>
  <pageMargins left="0" right="0" top="0.74803149606299213" bottom="0" header="0.31496062992125984" footer="0.31496062992125984"/>
  <pageSetup paperSize="9" scale="85" fitToWidth="0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CQ129"/>
  <sheetViews>
    <sheetView view="pageBreakPreview" topLeftCell="A115" zoomScaleNormal="100" zoomScaleSheetLayoutView="100" workbookViewId="0">
      <selection sqref="A1:I131"/>
    </sheetView>
  </sheetViews>
  <sheetFormatPr defaultColWidth="9.140625" defaultRowHeight="12.75" x14ac:dyDescent="0.2"/>
  <cols>
    <col min="1" max="1" width="11.85546875" style="1" customWidth="1"/>
    <col min="2" max="2" width="13.42578125" style="1" customWidth="1"/>
    <col min="3" max="3" width="11.140625" style="1" customWidth="1"/>
    <col min="4" max="4" width="12" style="1" customWidth="1"/>
    <col min="5" max="5" width="8.85546875" style="1" customWidth="1"/>
    <col min="6" max="6" width="10" style="1" customWidth="1"/>
    <col min="7" max="7" width="9.140625" style="1"/>
    <col min="8" max="8" width="10.5703125" style="1" customWidth="1"/>
    <col min="9" max="9" width="15.140625" style="1" customWidth="1"/>
    <col min="10" max="10" width="5.28515625" style="1" customWidth="1"/>
    <col min="11" max="11" width="2.85546875" style="1" customWidth="1"/>
    <col min="12" max="12" width="2.140625" style="1" customWidth="1"/>
    <col min="13" max="13" width="9.7109375" style="1" customWidth="1"/>
    <col min="14" max="14" width="2.42578125" style="1" customWidth="1"/>
    <col min="15" max="15" width="7.5703125" style="1" customWidth="1"/>
    <col min="16" max="16" width="1.42578125" style="1" customWidth="1"/>
    <col min="17" max="17" width="4.5703125" style="1" customWidth="1"/>
    <col min="18" max="18" width="5.85546875" style="1" customWidth="1"/>
    <col min="19" max="19" width="4.85546875" style="1" customWidth="1"/>
    <col min="20" max="20" width="2.5703125" style="1" customWidth="1"/>
    <col min="21" max="21" width="6.140625" style="1" customWidth="1"/>
    <col min="22" max="22" width="1.85546875" style="1" customWidth="1"/>
    <col min="23" max="23" width="6.7109375" style="1" customWidth="1"/>
    <col min="24" max="24" width="9.140625" style="1"/>
    <col min="25" max="25" width="11.140625" style="1" customWidth="1"/>
    <col min="26" max="26" width="1.28515625" style="1" customWidth="1"/>
    <col min="27" max="27" width="5.5703125" style="1" customWidth="1"/>
    <col min="28" max="28" width="1.85546875" style="1" customWidth="1"/>
    <col min="29" max="29" width="3.5703125" style="1" customWidth="1"/>
    <col min="30" max="30" width="2" style="1" customWidth="1"/>
    <col min="31" max="31" width="5.42578125" style="1" customWidth="1"/>
    <col min="32" max="32" width="1.85546875" style="1" customWidth="1"/>
    <col min="33" max="33" width="3.5703125" style="1" customWidth="1"/>
    <col min="34" max="34" width="4.28515625" style="1" customWidth="1"/>
    <col min="35" max="35" width="4.42578125" style="1" customWidth="1"/>
    <col min="36" max="36" width="1.5703125" style="1" customWidth="1"/>
    <col min="37" max="37" width="3.42578125" style="1" customWidth="1"/>
    <col min="38" max="38" width="1.7109375" style="1" customWidth="1"/>
    <col min="39" max="39" width="4.42578125" style="1" customWidth="1"/>
    <col min="40" max="40" width="5.85546875" style="1" customWidth="1"/>
    <col min="41" max="41" width="3.42578125" style="1" customWidth="1"/>
    <col min="42" max="42" width="5.85546875" style="1" customWidth="1"/>
    <col min="43" max="43" width="5.28515625" style="1" customWidth="1"/>
    <col min="44" max="44" width="2" style="1" customWidth="1"/>
    <col min="45" max="45" width="4.5703125" style="1" customWidth="1"/>
    <col min="46" max="46" width="2.140625" style="1" customWidth="1"/>
    <col min="47" max="47" width="6" style="1" customWidth="1"/>
    <col min="48" max="49" width="4" style="1" customWidth="1"/>
    <col min="50" max="50" width="2.85546875" style="1" customWidth="1"/>
    <col min="51" max="51" width="4.28515625" style="1" customWidth="1"/>
    <col min="52" max="52" width="6.140625" style="1" customWidth="1"/>
    <col min="53" max="53" width="3.28515625" style="1" customWidth="1"/>
    <col min="54" max="54" width="3.5703125" style="1" customWidth="1"/>
    <col min="55" max="55" width="5.140625" style="1" customWidth="1"/>
    <col min="56" max="56" width="2.28515625" style="1" customWidth="1"/>
    <col min="57" max="57" width="2.140625" style="1" customWidth="1"/>
    <col min="58" max="58" width="3.140625" style="1" customWidth="1"/>
    <col min="59" max="59" width="5.7109375" style="1" customWidth="1"/>
    <col min="60" max="16384" width="9.140625" style="1"/>
  </cols>
  <sheetData>
    <row r="1" spans="1:11" ht="15" customHeight="1" x14ac:dyDescent="0.2">
      <c r="C1" s="473"/>
      <c r="D1" s="473"/>
      <c r="E1" s="473"/>
      <c r="F1" s="473"/>
      <c r="G1" s="473"/>
      <c r="H1" s="473"/>
      <c r="I1" s="473"/>
    </row>
    <row r="2" spans="1:11" ht="9" customHeight="1" x14ac:dyDescent="0.2">
      <c r="A2" s="474" t="s">
        <v>207</v>
      </c>
      <c r="B2" s="475"/>
      <c r="C2" s="475"/>
      <c r="D2" s="475"/>
      <c r="E2" s="475"/>
      <c r="F2" s="475"/>
      <c r="G2" s="475"/>
      <c r="H2" s="475"/>
      <c r="I2" s="475"/>
      <c r="J2" s="9"/>
      <c r="K2" s="9"/>
    </row>
    <row r="3" spans="1:11" ht="6.75" customHeight="1" x14ac:dyDescent="0.2">
      <c r="A3" s="475"/>
      <c r="B3" s="475"/>
      <c r="C3" s="475"/>
      <c r="D3" s="475"/>
      <c r="E3" s="475"/>
      <c r="F3" s="475"/>
      <c r="G3" s="475"/>
      <c r="H3" s="475"/>
      <c r="I3" s="475"/>
      <c r="J3" s="9"/>
      <c r="K3" s="9"/>
    </row>
    <row r="4" spans="1:11" ht="14.25" customHeight="1" x14ac:dyDescent="0.2">
      <c r="A4" s="475"/>
      <c r="B4" s="475"/>
      <c r="C4" s="475"/>
      <c r="D4" s="475"/>
      <c r="E4" s="475"/>
      <c r="F4" s="475"/>
      <c r="G4" s="475"/>
      <c r="H4" s="475"/>
      <c r="I4" s="475"/>
      <c r="J4" s="9"/>
      <c r="K4" s="9"/>
    </row>
    <row r="5" spans="1:11" ht="28.5" customHeight="1" x14ac:dyDescent="0.2">
      <c r="A5" s="475"/>
      <c r="B5" s="475"/>
      <c r="C5" s="475"/>
      <c r="D5" s="475"/>
      <c r="E5" s="475"/>
      <c r="F5" s="475"/>
      <c r="G5" s="475"/>
      <c r="H5" s="475"/>
      <c r="I5" s="475"/>
      <c r="J5" s="9"/>
      <c r="K5" s="9"/>
    </row>
    <row r="6" spans="1:11" ht="16.5" hidden="1" customHeight="1" x14ac:dyDescent="0.2">
      <c r="A6" s="475"/>
      <c r="B6" s="475"/>
      <c r="C6" s="475"/>
      <c r="D6" s="475"/>
      <c r="E6" s="475"/>
      <c r="F6" s="475"/>
      <c r="G6" s="475"/>
      <c r="H6" s="475"/>
      <c r="I6" s="475"/>
      <c r="J6" s="9"/>
      <c r="K6" s="9"/>
    </row>
    <row r="7" spans="1:11" hidden="1" x14ac:dyDescent="0.2">
      <c r="A7" s="475"/>
      <c r="B7" s="475"/>
      <c r="C7" s="475"/>
      <c r="D7" s="475"/>
      <c r="E7" s="475"/>
      <c r="F7" s="475"/>
      <c r="G7" s="475"/>
      <c r="H7" s="475"/>
      <c r="I7" s="475"/>
      <c r="J7" s="9"/>
      <c r="K7" s="9"/>
    </row>
    <row r="8" spans="1:11" hidden="1" x14ac:dyDescent="0.2">
      <c r="A8" s="475"/>
      <c r="B8" s="475"/>
      <c r="C8" s="475"/>
      <c r="D8" s="475"/>
      <c r="E8" s="475"/>
      <c r="F8" s="475"/>
      <c r="G8" s="475"/>
      <c r="H8" s="475"/>
      <c r="I8" s="475"/>
      <c r="J8" s="9"/>
      <c r="K8" s="9"/>
    </row>
    <row r="9" spans="1:11" hidden="1" x14ac:dyDescent="0.2">
      <c r="A9" s="475"/>
      <c r="B9" s="475"/>
      <c r="C9" s="475"/>
      <c r="D9" s="475"/>
      <c r="E9" s="475"/>
      <c r="F9" s="475"/>
      <c r="G9" s="475"/>
      <c r="H9" s="475"/>
      <c r="I9" s="475"/>
      <c r="J9" s="9"/>
      <c r="K9" s="9"/>
    </row>
    <row r="10" spans="1:11" hidden="1" x14ac:dyDescent="0.2">
      <c r="A10" s="475"/>
      <c r="B10" s="475"/>
      <c r="C10" s="475"/>
      <c r="D10" s="475"/>
      <c r="E10" s="475"/>
      <c r="F10" s="475"/>
      <c r="G10" s="475"/>
      <c r="H10" s="475"/>
      <c r="I10" s="475"/>
      <c r="J10" s="9"/>
      <c r="K10" s="9"/>
    </row>
    <row r="11" spans="1:11" hidden="1" x14ac:dyDescent="0.2">
      <c r="A11" s="475"/>
      <c r="B11" s="475"/>
      <c r="C11" s="475"/>
      <c r="D11" s="475"/>
      <c r="E11" s="475"/>
      <c r="F11" s="475"/>
      <c r="G11" s="475"/>
      <c r="H11" s="475"/>
      <c r="I11" s="475"/>
      <c r="J11" s="9"/>
      <c r="K11" s="9"/>
    </row>
    <row r="12" spans="1:11" hidden="1" x14ac:dyDescent="0.2">
      <c r="A12" s="475"/>
      <c r="B12" s="475"/>
      <c r="C12" s="475"/>
      <c r="D12" s="475"/>
      <c r="E12" s="475"/>
      <c r="F12" s="475"/>
      <c r="G12" s="475"/>
      <c r="H12" s="475"/>
      <c r="I12" s="475"/>
      <c r="J12" s="9"/>
      <c r="K12" s="9"/>
    </row>
    <row r="13" spans="1:11" hidden="1" x14ac:dyDescent="0.2">
      <c r="A13" s="475"/>
      <c r="B13" s="475"/>
      <c r="C13" s="475"/>
      <c r="D13" s="475"/>
      <c r="E13" s="475"/>
      <c r="F13" s="475"/>
      <c r="G13" s="475"/>
      <c r="H13" s="475"/>
      <c r="I13" s="475"/>
      <c r="J13" s="9"/>
      <c r="K13" s="9"/>
    </row>
    <row r="14" spans="1:11" ht="31.7" hidden="1" customHeight="1" x14ac:dyDescent="0.2">
      <c r="A14" s="475"/>
      <c r="B14" s="475"/>
      <c r="C14" s="475"/>
      <c r="D14" s="475"/>
      <c r="E14" s="475"/>
      <c r="F14" s="475"/>
      <c r="G14" s="475"/>
      <c r="H14" s="475"/>
      <c r="I14" s="475"/>
      <c r="J14" s="9"/>
      <c r="K14" s="9"/>
    </row>
    <row r="15" spans="1:11" ht="24.75" hidden="1" customHeight="1" x14ac:dyDescent="0.2">
      <c r="A15" s="475"/>
      <c r="B15" s="475"/>
      <c r="C15" s="475"/>
      <c r="D15" s="475"/>
      <c r="E15" s="475"/>
      <c r="F15" s="475"/>
      <c r="G15" s="475"/>
      <c r="H15" s="475"/>
      <c r="I15" s="475"/>
      <c r="J15" s="9"/>
      <c r="K15" s="9"/>
    </row>
    <row r="16" spans="1:11" hidden="1" x14ac:dyDescent="0.2">
      <c r="A16" s="475"/>
      <c r="B16" s="475"/>
      <c r="C16" s="475"/>
      <c r="D16" s="475"/>
      <c r="E16" s="475"/>
      <c r="F16" s="475"/>
      <c r="G16" s="475"/>
      <c r="H16" s="475"/>
      <c r="I16" s="475"/>
      <c r="K16" s="9"/>
    </row>
    <row r="17" spans="1:91" s="2" customFormat="1" x14ac:dyDescent="0.2">
      <c r="A17" s="30"/>
      <c r="B17" s="30"/>
      <c r="C17" s="30"/>
      <c r="D17" s="30"/>
      <c r="E17" s="30"/>
      <c r="F17" s="30"/>
      <c r="G17" s="30"/>
      <c r="H17" s="30"/>
      <c r="I17" s="30"/>
      <c r="BJ17" s="48"/>
    </row>
    <row r="18" spans="1:91" s="2" customFormat="1" ht="14.25" x14ac:dyDescent="0.2">
      <c r="A18" s="10" t="s">
        <v>12</v>
      </c>
      <c r="B18" s="11"/>
      <c r="C18" s="35"/>
      <c r="D18" s="35"/>
      <c r="E18" s="35"/>
      <c r="F18" s="35"/>
      <c r="G18" s="35"/>
      <c r="H18" s="35"/>
      <c r="J18" s="48"/>
      <c r="BB18" s="48"/>
      <c r="BJ18" s="48"/>
    </row>
    <row r="19" spans="1:91" s="2" customFormat="1" ht="9" customHeight="1" x14ac:dyDescent="0.2">
      <c r="A19" s="35"/>
      <c r="B19" s="35"/>
      <c r="C19" s="35"/>
      <c r="D19" s="35"/>
      <c r="E19" s="35"/>
      <c r="F19" s="35"/>
      <c r="G19" s="35"/>
      <c r="H19" s="35"/>
      <c r="R19" s="477"/>
      <c r="S19" s="477"/>
      <c r="T19" s="53"/>
      <c r="U19" s="477"/>
      <c r="V19" s="477"/>
      <c r="X19" s="478"/>
      <c r="Y19" s="478"/>
      <c r="Z19" s="478"/>
      <c r="BB19" s="48"/>
      <c r="BJ19" s="48"/>
    </row>
    <row r="20" spans="1:91" s="2" customFormat="1" ht="50.25" customHeight="1" x14ac:dyDescent="0.2">
      <c r="A20" s="49" t="s">
        <v>58</v>
      </c>
      <c r="B20" s="50" t="s">
        <v>279</v>
      </c>
      <c r="C20" s="50" t="s">
        <v>281</v>
      </c>
      <c r="D20" s="50" t="s">
        <v>222</v>
      </c>
      <c r="E20" s="51" t="s">
        <v>59</v>
      </c>
      <c r="F20" s="51" t="s">
        <v>60</v>
      </c>
      <c r="G20" s="51" t="s">
        <v>61</v>
      </c>
      <c r="H20" s="51" t="s">
        <v>223</v>
      </c>
      <c r="I20" s="37" t="s">
        <v>224</v>
      </c>
      <c r="BJ20" s="48"/>
    </row>
    <row r="21" spans="1:91" s="2" customFormat="1" x14ac:dyDescent="0.2">
      <c r="A21" s="36" t="s">
        <v>70</v>
      </c>
      <c r="B21" s="39" t="s">
        <v>280</v>
      </c>
      <c r="C21" s="39">
        <v>9</v>
      </c>
      <c r="D21" s="39">
        <v>172</v>
      </c>
      <c r="E21" s="470" t="s">
        <v>225</v>
      </c>
      <c r="F21" s="471"/>
      <c r="G21" s="472"/>
      <c r="H21" s="39">
        <v>171.68</v>
      </c>
      <c r="I21" s="39">
        <v>0.72</v>
      </c>
      <c r="J21" s="40"/>
      <c r="R21" s="479"/>
      <c r="S21" s="477"/>
      <c r="T21" s="477"/>
      <c r="V21" s="477"/>
      <c r="W21" s="477"/>
      <c r="Y21" s="477"/>
      <c r="Z21" s="477"/>
      <c r="AA21" s="477"/>
      <c r="AB21" s="477"/>
      <c r="AD21" s="476"/>
      <c r="AE21" s="476"/>
      <c r="BJ21" s="48"/>
    </row>
    <row r="22" spans="1:91" s="2" customFormat="1" ht="15.75" customHeight="1" x14ac:dyDescent="0.2">
      <c r="A22" s="36" t="s">
        <v>70</v>
      </c>
      <c r="B22" s="39" t="s">
        <v>282</v>
      </c>
      <c r="C22" s="39">
        <v>8</v>
      </c>
      <c r="D22" s="39">
        <v>172</v>
      </c>
      <c r="E22" s="470" t="s">
        <v>225</v>
      </c>
      <c r="F22" s="471"/>
      <c r="G22" s="472"/>
      <c r="H22" s="39">
        <v>166.61</v>
      </c>
      <c r="I22" s="39">
        <v>0.72</v>
      </c>
      <c r="AO22" s="48"/>
      <c r="AP22" s="48"/>
      <c r="AQ22" s="48"/>
      <c r="AR22" s="48"/>
      <c r="AS22" s="48"/>
      <c r="AT22" s="48"/>
      <c r="AU22" s="48"/>
    </row>
    <row r="23" spans="1:91" s="2" customFormat="1" ht="12.75" customHeight="1" x14ac:dyDescent="0.2">
      <c r="A23" s="36" t="s">
        <v>70</v>
      </c>
      <c r="B23" s="39" t="s">
        <v>283</v>
      </c>
      <c r="C23" s="39">
        <v>8</v>
      </c>
      <c r="D23" s="39">
        <v>172</v>
      </c>
      <c r="E23" s="470" t="s">
        <v>225</v>
      </c>
      <c r="F23" s="471"/>
      <c r="G23" s="472"/>
      <c r="H23" s="39">
        <v>172.82</v>
      </c>
      <c r="I23" s="39">
        <v>0.7</v>
      </c>
      <c r="AO23" s="48"/>
      <c r="AP23" s="48"/>
      <c r="AQ23" s="48"/>
      <c r="AR23" s="48"/>
      <c r="AS23" s="48"/>
      <c r="AT23" s="48"/>
      <c r="AU23" s="48"/>
    </row>
    <row r="24" spans="1:91" s="2" customFormat="1" x14ac:dyDescent="0.2">
      <c r="A24" s="36" t="s">
        <v>70</v>
      </c>
      <c r="B24" s="39" t="s">
        <v>284</v>
      </c>
      <c r="C24" s="39">
        <v>8</v>
      </c>
      <c r="D24" s="39">
        <v>172</v>
      </c>
      <c r="E24" s="470" t="s">
        <v>225</v>
      </c>
      <c r="F24" s="471"/>
      <c r="G24" s="472"/>
      <c r="H24" s="39">
        <v>167.66</v>
      </c>
      <c r="I24" s="39">
        <v>0.7</v>
      </c>
      <c r="AO24" s="48"/>
      <c r="AP24" s="48"/>
      <c r="AQ24" s="48"/>
      <c r="AR24" s="48"/>
      <c r="AS24" s="48"/>
      <c r="AT24" s="48"/>
      <c r="AU24" s="48"/>
    </row>
    <row r="25" spans="1:91" s="2" customFormat="1" x14ac:dyDescent="0.2">
      <c r="A25" s="36" t="s">
        <v>70</v>
      </c>
      <c r="B25" s="39" t="s">
        <v>284</v>
      </c>
      <c r="C25" s="39">
        <v>8</v>
      </c>
      <c r="D25" s="39">
        <v>172</v>
      </c>
      <c r="E25" s="470" t="s">
        <v>225</v>
      </c>
      <c r="F25" s="471"/>
      <c r="G25" s="472"/>
      <c r="H25" s="39">
        <v>167.12</v>
      </c>
      <c r="I25" s="39">
        <v>0.7</v>
      </c>
      <c r="AO25" s="48"/>
      <c r="AP25" s="48"/>
      <c r="AQ25" s="48"/>
      <c r="AR25" s="48"/>
      <c r="AS25" s="48"/>
      <c r="AT25" s="48"/>
      <c r="AU25" s="48"/>
    </row>
    <row r="26" spans="1:91" s="2" customFormat="1" x14ac:dyDescent="0.2">
      <c r="A26" s="41"/>
      <c r="B26" s="42"/>
      <c r="C26" s="42"/>
      <c r="D26" s="42"/>
      <c r="E26" s="42"/>
      <c r="F26" s="42"/>
      <c r="G26" s="42"/>
      <c r="H26" s="42"/>
      <c r="I26" s="42"/>
      <c r="AO26" s="48"/>
      <c r="AP26" s="48"/>
      <c r="AQ26" s="48"/>
      <c r="AR26" s="48"/>
      <c r="AS26" s="48"/>
      <c r="AT26" s="48"/>
      <c r="AU26" s="48"/>
      <c r="BM26" s="48"/>
      <c r="BN26" s="48"/>
    </row>
    <row r="27" spans="1:91" s="2" customFormat="1" ht="15.75" x14ac:dyDescent="0.2">
      <c r="A27" s="16" t="s">
        <v>20</v>
      </c>
      <c r="B27" s="17" t="s">
        <v>62</v>
      </c>
      <c r="C27" s="17" t="s">
        <v>69</v>
      </c>
      <c r="D27" s="17">
        <f>H21</f>
        <v>171.68</v>
      </c>
      <c r="E27" s="18" t="s">
        <v>50</v>
      </c>
      <c r="F27" s="17">
        <f>ROUND((1*1000000*100/7000/H21),2)</f>
        <v>83.21</v>
      </c>
      <c r="G27" s="1" t="s">
        <v>64</v>
      </c>
      <c r="H27" s="1"/>
      <c r="I27" s="1"/>
      <c r="M27" s="43"/>
      <c r="AN27" s="48"/>
      <c r="AO27" s="48"/>
      <c r="AP27" s="48"/>
      <c r="BJ27" s="48"/>
    </row>
    <row r="28" spans="1:91" s="2" customFormat="1" ht="20.100000000000001" customHeight="1" x14ac:dyDescent="0.2">
      <c r="A28" s="16" t="s">
        <v>21</v>
      </c>
      <c r="B28" s="17" t="s">
        <v>62</v>
      </c>
      <c r="C28" s="17" t="s">
        <v>63</v>
      </c>
      <c r="D28" s="17">
        <f>H22</f>
        <v>166.61</v>
      </c>
      <c r="E28" s="18" t="s">
        <v>50</v>
      </c>
      <c r="F28" s="17">
        <f>ROUND((1*1000000*100/7000/H22),2)</f>
        <v>85.74</v>
      </c>
      <c r="G28" s="1" t="s">
        <v>64</v>
      </c>
      <c r="H28" s="1"/>
      <c r="I28" s="1"/>
      <c r="M28" s="43"/>
      <c r="BJ28" s="48"/>
      <c r="BO28" s="1"/>
      <c r="BP28" s="1"/>
    </row>
    <row r="29" spans="1:91" s="2" customFormat="1" ht="20.100000000000001" customHeight="1" x14ac:dyDescent="0.2">
      <c r="A29" s="16" t="s">
        <v>22</v>
      </c>
      <c r="B29" s="17" t="s">
        <v>62</v>
      </c>
      <c r="C29" s="17" t="s">
        <v>63</v>
      </c>
      <c r="D29" s="17">
        <f>H23</f>
        <v>172.82</v>
      </c>
      <c r="E29" s="18" t="s">
        <v>50</v>
      </c>
      <c r="F29" s="17">
        <f>ROUND((1*1000000*100/7000/H23),2)</f>
        <v>82.66</v>
      </c>
      <c r="G29" s="1" t="s">
        <v>64</v>
      </c>
      <c r="H29" s="1"/>
      <c r="I29" s="1"/>
      <c r="M29" s="43"/>
      <c r="T29" s="47"/>
      <c r="Z29" s="34"/>
      <c r="AB29" s="34"/>
      <c r="AE29" s="35"/>
      <c r="BJ29" s="48"/>
      <c r="BO29" s="1"/>
      <c r="BP29" s="1"/>
    </row>
    <row r="30" spans="1:91" s="2" customFormat="1" ht="15.75" x14ac:dyDescent="0.2">
      <c r="A30" s="16" t="s">
        <v>23</v>
      </c>
      <c r="B30" s="17" t="s">
        <v>62</v>
      </c>
      <c r="C30" s="17" t="s">
        <v>63</v>
      </c>
      <c r="D30" s="17">
        <f>H24</f>
        <v>167.66</v>
      </c>
      <c r="E30" s="18" t="s">
        <v>50</v>
      </c>
      <c r="F30" s="17">
        <f>ROUND((1*1000000*100/7000/H24),2)</f>
        <v>85.21</v>
      </c>
      <c r="G30" s="1" t="s">
        <v>64</v>
      </c>
      <c r="H30" s="1"/>
      <c r="I30" s="1"/>
      <c r="M30" s="43"/>
      <c r="AS30" s="48"/>
      <c r="AT30" s="48"/>
      <c r="AU30" s="48"/>
      <c r="AV30" s="48"/>
      <c r="AW30" s="48"/>
      <c r="AX30" s="48"/>
      <c r="BJ30" s="48"/>
      <c r="BO30" s="1"/>
      <c r="BP30" s="1"/>
      <c r="BQ30" s="1"/>
    </row>
    <row r="31" spans="1:91" s="2" customFormat="1" ht="15.75" customHeight="1" x14ac:dyDescent="0.2">
      <c r="A31" s="16" t="s">
        <v>24</v>
      </c>
      <c r="B31" s="17" t="s">
        <v>71</v>
      </c>
      <c r="C31" s="17" t="s">
        <v>63</v>
      </c>
      <c r="D31" s="17">
        <f>H25</f>
        <v>167.12</v>
      </c>
      <c r="E31" s="18" t="s">
        <v>50</v>
      </c>
      <c r="F31" s="17">
        <f>ROUND((1*1000000*100/7000/H25),2)</f>
        <v>85.48</v>
      </c>
      <c r="G31" s="1" t="s">
        <v>64</v>
      </c>
      <c r="H31" s="1"/>
      <c r="I31" s="1"/>
      <c r="M31" s="43"/>
      <c r="AS31" s="48"/>
      <c r="AT31" s="48"/>
      <c r="AU31" s="48"/>
      <c r="AV31" s="48"/>
      <c r="AW31" s="48"/>
      <c r="AX31" s="48"/>
      <c r="BJ31" s="48"/>
      <c r="BN31" s="1"/>
      <c r="BQ31" s="1"/>
      <c r="BX31" s="1"/>
      <c r="BY31" s="1"/>
      <c r="BZ31" s="1"/>
      <c r="CA31" s="1"/>
      <c r="CB31" s="1"/>
      <c r="CC31" s="1"/>
    </row>
    <row r="32" spans="1:91" ht="16.5" x14ac:dyDescent="0.25">
      <c r="A32" s="16" t="s">
        <v>25</v>
      </c>
      <c r="E32" s="26"/>
      <c r="F32" s="1">
        <f>ROUND(((F27*I21+F28*I22+F29*I23+F30*I24+F31*I25)/(I21+I22+I23+I24+I25)),2)</f>
        <v>84.46</v>
      </c>
      <c r="G32" s="1" t="s">
        <v>64</v>
      </c>
      <c r="I32" s="2"/>
      <c r="J32" s="2"/>
      <c r="K32" s="43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48"/>
      <c r="BG32" s="2"/>
      <c r="BH32" s="2"/>
      <c r="BI32" s="2"/>
      <c r="BK32" s="2"/>
      <c r="BL32" s="2"/>
      <c r="BM32" s="2"/>
      <c r="BN32" s="2"/>
      <c r="BO32" s="2"/>
      <c r="BP32" s="2"/>
      <c r="BQ32" s="2"/>
      <c r="BR32" s="2"/>
      <c r="BS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</row>
    <row r="33" spans="1:95" x14ac:dyDescent="0.2">
      <c r="A33" s="16"/>
      <c r="B33" s="28"/>
      <c r="C33" s="16"/>
      <c r="D33" s="28"/>
      <c r="E33" s="29"/>
      <c r="J33" s="2"/>
      <c r="K33" s="2"/>
      <c r="L33" s="2"/>
      <c r="M33" s="43"/>
      <c r="N33" s="2"/>
      <c r="O33" s="2"/>
      <c r="P33" s="2"/>
      <c r="Q33" s="31"/>
      <c r="R33" s="31"/>
      <c r="S33" s="2"/>
      <c r="T33" s="477"/>
      <c r="U33" s="477"/>
      <c r="V33" s="2"/>
      <c r="W33" s="477"/>
      <c r="X33" s="477"/>
      <c r="Y33" s="477"/>
      <c r="Z33" s="477"/>
      <c r="AA33" s="2"/>
      <c r="AB33" s="476"/>
      <c r="AC33" s="476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48"/>
      <c r="BK33" s="2"/>
      <c r="BO33" s="2"/>
      <c r="BP33" s="2"/>
      <c r="BQ33" s="2"/>
      <c r="BR33" s="2"/>
      <c r="BS33" s="2"/>
      <c r="BT33" s="2"/>
      <c r="BU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</row>
    <row r="34" spans="1:95" ht="18.75" x14ac:dyDescent="0.35">
      <c r="A34" s="23" t="s">
        <v>65</v>
      </c>
      <c r="B34" s="17" t="s">
        <v>62</v>
      </c>
      <c r="C34" s="17" t="s">
        <v>63</v>
      </c>
      <c r="D34" s="26">
        <f>F32</f>
        <v>84.46</v>
      </c>
      <c r="E34" s="29" t="s">
        <v>50</v>
      </c>
      <c r="F34" s="19">
        <f>ROUND((1*1000000*100/7000/D34),2)</f>
        <v>169.14</v>
      </c>
      <c r="G34" s="1" t="s">
        <v>66</v>
      </c>
      <c r="J34" s="2"/>
      <c r="K34" s="2"/>
      <c r="L34" s="2"/>
      <c r="M34" s="43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48"/>
      <c r="AQ34" s="48"/>
      <c r="AR34" s="48"/>
      <c r="AS34" s="48"/>
      <c r="AT34" s="48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48"/>
      <c r="BK34" s="2"/>
      <c r="BO34" s="2"/>
      <c r="BP34" s="2"/>
      <c r="BQ34" s="2"/>
      <c r="BR34" s="2"/>
      <c r="BS34" s="2"/>
      <c r="BT34" s="2"/>
      <c r="BU34" s="2"/>
      <c r="CD34" s="2"/>
      <c r="CE34" s="2"/>
      <c r="CF34" s="2"/>
      <c r="CG34" s="2"/>
      <c r="CH34" s="2"/>
      <c r="CI34" s="2"/>
      <c r="CJ34" s="2"/>
      <c r="CK34" s="2"/>
      <c r="CL34" s="2"/>
      <c r="CM34" s="2"/>
    </row>
    <row r="35" spans="1:95" ht="20.100000000000001" customHeight="1" x14ac:dyDescent="0.2">
      <c r="A35" s="30"/>
      <c r="B35" s="44"/>
      <c r="C35" s="30"/>
      <c r="D35" s="44"/>
      <c r="E35" s="45"/>
      <c r="F35" s="2"/>
      <c r="G35" s="2"/>
      <c r="H35" s="2"/>
      <c r="I35" s="2"/>
      <c r="J35" s="2"/>
      <c r="K35" s="2"/>
      <c r="L35" s="2"/>
      <c r="M35" s="43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48"/>
      <c r="AR35" s="48"/>
      <c r="AS35" s="48"/>
      <c r="AT35" s="48"/>
      <c r="AU35" s="48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</row>
    <row r="36" spans="1:95" ht="20.100000000000001" customHeight="1" x14ac:dyDescent="0.35">
      <c r="A36" s="32" t="s">
        <v>67</v>
      </c>
      <c r="B36" s="53" t="s">
        <v>50</v>
      </c>
      <c r="C36" s="54" t="e">
        <f>ROUND(((#REF!+#REF!)/0.978),2)</f>
        <v>#REF!</v>
      </c>
      <c r="D36" s="53" t="s">
        <v>51</v>
      </c>
      <c r="E36" s="53">
        <f>F34</f>
        <v>169.14</v>
      </c>
      <c r="F36" s="53" t="s">
        <v>50</v>
      </c>
      <c r="G36" s="53" t="e">
        <f>ROUND((C36*E36),0)</f>
        <v>#REF!</v>
      </c>
      <c r="H36" s="34" t="s">
        <v>68</v>
      </c>
      <c r="I36" s="34"/>
      <c r="J36" s="2"/>
      <c r="K36" s="2"/>
      <c r="L36" s="2"/>
      <c r="M36" s="46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48"/>
      <c r="AN36" s="48"/>
      <c r="AO36" s="48"/>
      <c r="AP36" s="48"/>
      <c r="AQ36" s="48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</row>
    <row r="37" spans="1:95" ht="15.75" customHeight="1" x14ac:dyDescent="0.2">
      <c r="A37" s="30"/>
      <c r="B37" s="44"/>
      <c r="C37" s="30"/>
      <c r="D37" s="44"/>
      <c r="E37" s="45"/>
      <c r="F37" s="2"/>
      <c r="G37" s="2"/>
      <c r="H37" s="2"/>
      <c r="I37" s="2"/>
      <c r="J37" s="2"/>
      <c r="K37" s="2"/>
      <c r="L37" s="2"/>
      <c r="M37" s="43"/>
      <c r="N37" s="2"/>
      <c r="O37" s="2"/>
      <c r="P37" s="2"/>
      <c r="Q37" s="31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48"/>
      <c r="AR37" s="48"/>
      <c r="AS37" s="48"/>
      <c r="AT37" s="48"/>
      <c r="AU37" s="48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O37" s="2"/>
      <c r="BP37" s="48"/>
      <c r="BQ37" s="48"/>
      <c r="BR37" s="2"/>
      <c r="BW37" s="2"/>
      <c r="BX37" s="2"/>
      <c r="BY37" s="2"/>
      <c r="BZ37" s="2"/>
      <c r="CA37" s="2"/>
      <c r="CB37" s="2"/>
    </row>
    <row r="38" spans="1:95" ht="14.25" x14ac:dyDescent="0.2">
      <c r="A38" s="10" t="s">
        <v>13</v>
      </c>
      <c r="B38" s="11"/>
      <c r="C38" s="35"/>
      <c r="D38" s="35"/>
      <c r="E38" s="35"/>
      <c r="F38" s="35"/>
      <c r="G38" s="35"/>
      <c r="H38" s="35"/>
      <c r="I38" s="2"/>
      <c r="J38" s="2"/>
      <c r="K38" s="2"/>
      <c r="L38" s="2"/>
      <c r="M38" s="2"/>
      <c r="N38" s="2"/>
      <c r="O38" s="2"/>
      <c r="P38" s="2"/>
      <c r="Q38" s="2"/>
      <c r="R38" s="31"/>
      <c r="S38" s="53"/>
      <c r="T38" s="477"/>
      <c r="U38" s="477"/>
      <c r="V38" s="2"/>
      <c r="W38" s="478"/>
      <c r="X38" s="478"/>
      <c r="Y38" s="478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O38" s="48"/>
      <c r="BP38" s="48"/>
      <c r="BQ38" s="48"/>
      <c r="BR38" s="48"/>
      <c r="BS38" s="2"/>
      <c r="BT38" s="2"/>
      <c r="BW38" s="2"/>
      <c r="BX38" s="2"/>
      <c r="BY38" s="2"/>
      <c r="BZ38" s="2"/>
      <c r="CA38" s="2"/>
      <c r="CB38" s="2"/>
      <c r="CM38" s="2"/>
      <c r="CN38" s="2"/>
    </row>
    <row r="39" spans="1:95" ht="9.75" customHeight="1" x14ac:dyDescent="0.25">
      <c r="A39" s="35"/>
      <c r="B39" s="35"/>
      <c r="C39" s="35"/>
      <c r="D39" s="35"/>
      <c r="E39" s="35"/>
      <c r="F39" s="35"/>
      <c r="G39" s="35"/>
      <c r="H39" s="35"/>
      <c r="I39" s="2"/>
      <c r="J39" s="2"/>
      <c r="K39" s="2"/>
      <c r="L39" s="2"/>
      <c r="M39" s="2"/>
      <c r="N39" s="2"/>
      <c r="O39" s="2"/>
      <c r="P39" s="3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O39" s="48"/>
      <c r="BR39" s="48"/>
      <c r="BS39" s="2"/>
      <c r="BT39" s="2"/>
      <c r="BY39" s="48"/>
      <c r="BZ39" s="48"/>
      <c r="CA39" s="48"/>
      <c r="CB39" s="48"/>
      <c r="CC39" s="2"/>
      <c r="CD39" s="2"/>
      <c r="CM39" s="48"/>
      <c r="CN39" s="48"/>
    </row>
    <row r="40" spans="1:95" ht="51" x14ac:dyDescent="0.2">
      <c r="A40" s="49" t="s">
        <v>58</v>
      </c>
      <c r="B40" s="50" t="s">
        <v>279</v>
      </c>
      <c r="C40" s="50" t="s">
        <v>281</v>
      </c>
      <c r="D40" s="50" t="s">
        <v>222</v>
      </c>
      <c r="E40" s="51" t="s">
        <v>59</v>
      </c>
      <c r="F40" s="51" t="s">
        <v>60</v>
      </c>
      <c r="G40" s="51" t="s">
        <v>61</v>
      </c>
      <c r="H40" s="51" t="s">
        <v>223</v>
      </c>
      <c r="I40" s="37" t="s">
        <v>224</v>
      </c>
      <c r="J40" s="2"/>
      <c r="K40" s="2"/>
      <c r="L40" s="2"/>
      <c r="M40" s="2"/>
      <c r="N40" s="2"/>
      <c r="O40" s="2"/>
      <c r="P40" s="2"/>
      <c r="Q40" s="2"/>
      <c r="R40" s="31"/>
      <c r="S40" s="31"/>
      <c r="T40" s="2"/>
      <c r="U40" s="477"/>
      <c r="V40" s="477"/>
      <c r="W40" s="2"/>
      <c r="X40" s="477"/>
      <c r="Y40" s="477"/>
      <c r="Z40" s="477"/>
      <c r="AA40" s="477"/>
      <c r="AB40" s="2"/>
      <c r="AC40" s="476"/>
      <c r="AD40" s="476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48"/>
      <c r="AU40" s="48"/>
      <c r="AV40" s="48"/>
      <c r="AW40" s="48"/>
      <c r="AX40" s="48"/>
      <c r="AY40" s="48"/>
      <c r="AZ40" s="2"/>
      <c r="BA40" s="48"/>
      <c r="BB40" s="2"/>
      <c r="BC40" s="2"/>
      <c r="BD40" s="2"/>
      <c r="BE40" s="2"/>
      <c r="BF40" s="2"/>
      <c r="BG40" s="2"/>
      <c r="BH40" s="2"/>
      <c r="BI40" s="2"/>
      <c r="BJ40" s="2"/>
      <c r="BK40" s="2"/>
      <c r="BO40" s="48"/>
      <c r="BR40" s="48"/>
      <c r="BS40" s="2"/>
      <c r="BT40" s="2"/>
      <c r="CC40" s="48"/>
      <c r="CD40" s="48"/>
      <c r="CM40" s="48"/>
      <c r="CN40" s="48"/>
    </row>
    <row r="41" spans="1:95" x14ac:dyDescent="0.2">
      <c r="A41" s="36" t="s">
        <v>72</v>
      </c>
      <c r="B41" s="38" t="s">
        <v>287</v>
      </c>
      <c r="C41" s="39">
        <v>2</v>
      </c>
      <c r="D41" s="39">
        <v>158.69999999999999</v>
      </c>
      <c r="E41" s="470" t="s">
        <v>225</v>
      </c>
      <c r="F41" s="471"/>
      <c r="G41" s="472"/>
      <c r="H41" s="39">
        <v>159.15</v>
      </c>
      <c r="I41" s="39">
        <v>8.3000000000000007</v>
      </c>
      <c r="J41" s="40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48"/>
      <c r="AR41" s="48"/>
      <c r="AS41" s="48"/>
      <c r="AT41" s="48"/>
      <c r="AU41" s="48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O41" s="48"/>
      <c r="BW41" s="2"/>
      <c r="BX41" s="2"/>
      <c r="CC41" s="48"/>
      <c r="CD41" s="48"/>
      <c r="CM41" s="48"/>
      <c r="CN41" s="48"/>
    </row>
    <row r="42" spans="1:95" x14ac:dyDescent="0.2">
      <c r="A42" s="36" t="s">
        <v>72</v>
      </c>
      <c r="B42" s="38" t="s">
        <v>288</v>
      </c>
      <c r="C42" s="39">
        <v>3</v>
      </c>
      <c r="D42" s="39">
        <v>158.69999999999999</v>
      </c>
      <c r="E42" s="470" t="s">
        <v>225</v>
      </c>
      <c r="F42" s="471"/>
      <c r="G42" s="472"/>
      <c r="H42" s="39">
        <v>158.6</v>
      </c>
      <c r="I42" s="39">
        <v>8.3000000000000007</v>
      </c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48"/>
      <c r="AR42" s="48"/>
      <c r="AS42" s="48"/>
      <c r="AT42" s="48"/>
      <c r="AU42" s="48"/>
      <c r="AV42" s="2"/>
      <c r="AW42" s="2"/>
      <c r="AX42" s="2"/>
      <c r="AY42" s="2"/>
      <c r="AZ42" s="2"/>
      <c r="BA42" s="2"/>
      <c r="BB42" s="2"/>
      <c r="BC42" s="2"/>
      <c r="BD42" s="2"/>
      <c r="BF42" s="2"/>
      <c r="BG42" s="2"/>
      <c r="BH42" s="2"/>
      <c r="BI42" s="2"/>
      <c r="BJ42" s="2"/>
      <c r="BM42" s="2"/>
      <c r="BN42" s="2"/>
      <c r="BO42" s="2"/>
      <c r="CA42" s="2"/>
      <c r="CB42" s="2"/>
    </row>
    <row r="43" spans="1:95" x14ac:dyDescent="0.2">
      <c r="A43" s="41"/>
      <c r="B43" s="52"/>
      <c r="C43" s="42"/>
      <c r="D43" s="42"/>
      <c r="E43" s="42"/>
      <c r="F43" s="42"/>
      <c r="G43" s="42"/>
      <c r="H43" s="42"/>
      <c r="I43" s="42"/>
      <c r="J43" s="2"/>
      <c r="K43" s="2"/>
      <c r="L43" s="2"/>
      <c r="M43" s="2"/>
      <c r="N43" s="2"/>
      <c r="O43" s="2"/>
      <c r="P43" s="2"/>
      <c r="Q43" s="46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48"/>
      <c r="AR43" s="48"/>
      <c r="AS43" s="48"/>
      <c r="AT43" s="48"/>
      <c r="AU43" s="48"/>
      <c r="AV43" s="2"/>
      <c r="AW43" s="2"/>
      <c r="AX43" s="2"/>
      <c r="AY43" s="2"/>
      <c r="AZ43" s="2"/>
      <c r="BA43" s="2"/>
      <c r="BB43" s="2"/>
      <c r="BC43" s="2"/>
      <c r="BD43" s="2"/>
      <c r="BF43" s="2"/>
      <c r="BG43" s="2"/>
      <c r="BH43" s="2"/>
      <c r="BM43" s="48"/>
      <c r="BN43" s="48"/>
      <c r="BO43" s="48"/>
      <c r="BW43" s="2"/>
      <c r="BX43" s="2"/>
      <c r="CA43" s="2"/>
      <c r="CB43" s="2"/>
    </row>
    <row r="44" spans="1:95" ht="15.75" x14ac:dyDescent="0.2">
      <c r="A44" s="16" t="s">
        <v>20</v>
      </c>
      <c r="B44" s="17" t="s">
        <v>62</v>
      </c>
      <c r="C44" s="17" t="s">
        <v>63</v>
      </c>
      <c r="D44" s="17">
        <f>H41</f>
        <v>159.15</v>
      </c>
      <c r="E44" s="18" t="s">
        <v>50</v>
      </c>
      <c r="F44" s="17">
        <f>ROUND((1*1000000*100/7000/H41),2)</f>
        <v>89.76</v>
      </c>
      <c r="G44" s="1" t="s">
        <v>64</v>
      </c>
      <c r="M44" s="19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48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F44" s="2"/>
      <c r="BG44" s="2"/>
      <c r="BH44" s="2"/>
      <c r="BM44" s="48"/>
      <c r="BN44" s="48"/>
      <c r="BS44" s="48"/>
      <c r="BT44" s="48"/>
      <c r="BW44" s="2"/>
      <c r="BX44" s="2"/>
      <c r="BY44" s="2"/>
      <c r="BZ44" s="2"/>
      <c r="CA44" s="48"/>
      <c r="CB44" s="48"/>
    </row>
    <row r="45" spans="1:95" ht="15.75" x14ac:dyDescent="0.2">
      <c r="A45" s="16" t="s">
        <v>21</v>
      </c>
      <c r="B45" s="17" t="s">
        <v>62</v>
      </c>
      <c r="C45" s="17" t="s">
        <v>63</v>
      </c>
      <c r="D45" s="17">
        <f>H42</f>
        <v>158.6</v>
      </c>
      <c r="E45" s="18" t="s">
        <v>50</v>
      </c>
      <c r="F45" s="17">
        <f>ROUND((1*1000000*100/7000/H42),2)</f>
        <v>90.07</v>
      </c>
      <c r="G45" s="1" t="s">
        <v>64</v>
      </c>
      <c r="M45" s="19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M45" s="2"/>
      <c r="BN45" s="2"/>
      <c r="BU45" s="2"/>
      <c r="BV45" s="2"/>
      <c r="BW45" s="48"/>
      <c r="BX45" s="48"/>
      <c r="BY45" s="2"/>
      <c r="BZ45" s="2"/>
      <c r="CA45" s="48"/>
      <c r="CB45" s="48"/>
    </row>
    <row r="46" spans="1:95" ht="16.5" x14ac:dyDescent="0.25">
      <c r="A46" s="16" t="s">
        <v>26</v>
      </c>
      <c r="C46" s="20"/>
      <c r="E46" s="18"/>
      <c r="F46" s="17">
        <f>ROUND(((F44*I41+F45*I42)/(I41+I42)),2)</f>
        <v>89.92</v>
      </c>
      <c r="G46" s="21" t="s">
        <v>64</v>
      </c>
      <c r="M46" s="22"/>
      <c r="O46" s="22"/>
      <c r="Q46" s="31"/>
      <c r="R46" s="2"/>
      <c r="S46" s="2"/>
      <c r="T46" s="2"/>
      <c r="U46" s="2"/>
      <c r="V46" s="34"/>
      <c r="W46" s="34"/>
      <c r="X46" s="35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48"/>
      <c r="BE46" s="2"/>
      <c r="BL46" s="2"/>
      <c r="BM46" s="48"/>
      <c r="BN46" s="48"/>
      <c r="BU46" s="2"/>
      <c r="BV46" s="2"/>
      <c r="BW46" s="48"/>
      <c r="BX46" s="48"/>
      <c r="BY46" s="48"/>
      <c r="BZ46" s="48"/>
      <c r="CA46" s="48"/>
      <c r="CB46" s="48"/>
    </row>
    <row r="47" spans="1:95" x14ac:dyDescent="0.2">
      <c r="A47" s="16"/>
      <c r="C47" s="20"/>
      <c r="E47" s="18"/>
      <c r="F47" s="17"/>
      <c r="G47" s="21"/>
      <c r="M47" s="22"/>
      <c r="O47" s="22"/>
      <c r="Q47" s="31"/>
      <c r="R47" s="2"/>
      <c r="S47" s="2"/>
      <c r="T47" s="2"/>
      <c r="U47" s="2"/>
      <c r="V47" s="34"/>
      <c r="W47" s="34"/>
      <c r="X47" s="35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48"/>
      <c r="BE47" s="2"/>
      <c r="BL47" s="2"/>
      <c r="BM47" s="48"/>
      <c r="BN47" s="48"/>
      <c r="BU47" s="2"/>
      <c r="BV47" s="2"/>
      <c r="BW47" s="48"/>
      <c r="BX47" s="48"/>
      <c r="BY47" s="48"/>
      <c r="BZ47" s="48"/>
      <c r="CA47" s="48"/>
      <c r="CB47" s="48"/>
    </row>
    <row r="48" spans="1:95" ht="18.75" x14ac:dyDescent="0.35">
      <c r="A48" s="23" t="s">
        <v>65</v>
      </c>
      <c r="B48" s="17" t="s">
        <v>62</v>
      </c>
      <c r="C48" s="17" t="s">
        <v>63</v>
      </c>
      <c r="D48" s="17">
        <f>F46</f>
        <v>89.92</v>
      </c>
      <c r="E48" s="18" t="s">
        <v>50</v>
      </c>
      <c r="F48" s="24">
        <f>ROUND((1*1000000*100/7000/D48),2)</f>
        <v>158.87</v>
      </c>
      <c r="G48" s="1" t="s">
        <v>66</v>
      </c>
      <c r="M48" s="27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BE48" s="2"/>
      <c r="BL48" s="2"/>
      <c r="BM48" s="48"/>
      <c r="BN48" s="48"/>
      <c r="BU48" s="48"/>
      <c r="BV48" s="48"/>
      <c r="BW48" s="48"/>
      <c r="BX48" s="48"/>
      <c r="BY48" s="48"/>
      <c r="BZ48" s="48"/>
    </row>
    <row r="49" spans="1:78" x14ac:dyDescent="0.2">
      <c r="A49" s="16"/>
      <c r="C49" s="468"/>
      <c r="D49" s="468"/>
      <c r="Q49" s="33"/>
      <c r="R49" s="31"/>
      <c r="S49" s="53"/>
      <c r="T49" s="477"/>
      <c r="U49" s="477"/>
      <c r="V49" s="2"/>
      <c r="W49" s="478"/>
      <c r="X49" s="478"/>
      <c r="Y49" s="478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BE49" s="2"/>
      <c r="BL49" s="2"/>
      <c r="BU49" s="48"/>
      <c r="BV49" s="48"/>
      <c r="BY49" s="48"/>
      <c r="BZ49" s="48"/>
    </row>
    <row r="50" spans="1:78" ht="20.25" x14ac:dyDescent="0.35">
      <c r="A50" s="23" t="s">
        <v>67</v>
      </c>
      <c r="B50" s="1" t="s">
        <v>50</v>
      </c>
      <c r="C50" s="79" t="e">
        <f>ROUND(((#REF!+#REF!)/0.978),2)</f>
        <v>#REF!</v>
      </c>
      <c r="D50" s="25" t="s">
        <v>51</v>
      </c>
      <c r="E50" s="25">
        <f>F48</f>
        <v>158.87</v>
      </c>
      <c r="F50" s="25" t="s">
        <v>50</v>
      </c>
      <c r="G50" s="53" t="e">
        <f>ROUND((C50*E50),0)</f>
        <v>#REF!</v>
      </c>
      <c r="H50" s="34" t="s">
        <v>68</v>
      </c>
      <c r="J50" s="468"/>
      <c r="K50" s="468"/>
      <c r="L50" s="469"/>
      <c r="M50" s="469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BE50" s="2"/>
      <c r="BU50" s="48"/>
      <c r="BV50" s="48"/>
    </row>
    <row r="51" spans="1:78" x14ac:dyDescent="0.2">
      <c r="A51" s="41"/>
      <c r="B51" s="52"/>
      <c r="C51" s="42"/>
      <c r="D51" s="42"/>
      <c r="E51" s="42"/>
      <c r="F51" s="42"/>
      <c r="G51" s="42"/>
      <c r="H51" s="42"/>
      <c r="I51" s="42"/>
      <c r="J51" s="2"/>
      <c r="K51" s="2"/>
      <c r="L51" s="2"/>
      <c r="M51" s="2"/>
      <c r="N51" s="2"/>
      <c r="O51" s="2"/>
      <c r="P51" s="2"/>
      <c r="Q51" s="2"/>
      <c r="R51" s="31"/>
      <c r="S51" s="31"/>
      <c r="T51" s="2"/>
      <c r="U51" s="31"/>
      <c r="V51" s="31"/>
      <c r="W51" s="2"/>
      <c r="X51" s="31"/>
      <c r="Y51" s="31"/>
      <c r="Z51" s="31"/>
      <c r="AA51" s="31"/>
      <c r="AB51" s="2"/>
      <c r="AC51" s="34"/>
      <c r="AD51" s="34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48"/>
      <c r="AU51" s="48"/>
      <c r="AV51" s="48"/>
      <c r="AW51" s="48"/>
      <c r="AX51" s="48"/>
      <c r="AY51" s="48"/>
      <c r="BA51" s="2"/>
      <c r="BB51" s="2"/>
      <c r="BC51" s="2"/>
      <c r="BD51" s="2"/>
      <c r="BE51" s="2"/>
      <c r="BK51" s="2"/>
    </row>
    <row r="52" spans="1:78" ht="14.25" x14ac:dyDescent="0.2">
      <c r="A52" s="10" t="s">
        <v>180</v>
      </c>
      <c r="B52" s="11"/>
      <c r="C52" s="35"/>
      <c r="D52" s="35"/>
      <c r="E52" s="35"/>
      <c r="F52" s="35"/>
      <c r="G52" s="35"/>
      <c r="H52" s="35"/>
      <c r="I52" s="2"/>
      <c r="J52" s="48"/>
      <c r="K52" s="2"/>
      <c r="L52" s="2"/>
      <c r="M52" s="2"/>
      <c r="N52" s="2"/>
      <c r="O52" s="2"/>
      <c r="P52" s="2"/>
      <c r="Q52" s="2"/>
      <c r="R52" s="31"/>
      <c r="S52" s="31"/>
      <c r="T52" s="2"/>
      <c r="U52" s="31"/>
      <c r="V52" s="31"/>
      <c r="W52" s="2"/>
      <c r="X52" s="31"/>
      <c r="Y52" s="31"/>
      <c r="Z52" s="31"/>
      <c r="AA52" s="31"/>
      <c r="AB52" s="2"/>
      <c r="AC52" s="34"/>
      <c r="AD52" s="34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48"/>
      <c r="AU52" s="48"/>
      <c r="AV52" s="48"/>
      <c r="AW52" s="48"/>
      <c r="AX52" s="48"/>
      <c r="AY52" s="48"/>
      <c r="BA52" s="2"/>
      <c r="BB52" s="2"/>
      <c r="BC52" s="2"/>
      <c r="BD52" s="2"/>
      <c r="BE52" s="2"/>
      <c r="BL52" s="48"/>
    </row>
    <row r="53" spans="1:78" ht="12.2" customHeight="1" x14ac:dyDescent="0.2">
      <c r="A53" s="35"/>
      <c r="B53" s="35"/>
      <c r="C53" s="35"/>
      <c r="D53" s="35"/>
      <c r="E53" s="35"/>
      <c r="F53" s="35"/>
      <c r="G53" s="35"/>
      <c r="H53" s="35"/>
      <c r="I53" s="2"/>
      <c r="J53" s="2"/>
      <c r="K53" s="2"/>
      <c r="L53" s="2"/>
      <c r="M53" s="2"/>
      <c r="N53" s="2"/>
      <c r="O53" s="2"/>
      <c r="P53" s="2"/>
      <c r="Q53" s="31"/>
      <c r="R53" s="31"/>
      <c r="S53" s="31"/>
      <c r="T53" s="2"/>
      <c r="U53" s="31"/>
      <c r="V53" s="31"/>
      <c r="W53" s="2"/>
      <c r="X53" s="31"/>
      <c r="Y53" s="31"/>
      <c r="Z53" s="31"/>
      <c r="AA53" s="31"/>
      <c r="AB53" s="2"/>
      <c r="AC53" s="34"/>
      <c r="AD53" s="34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48"/>
      <c r="AU53" s="48"/>
      <c r="AV53" s="48"/>
      <c r="AW53" s="48"/>
      <c r="AX53" s="48"/>
      <c r="AY53" s="48"/>
      <c r="BA53" s="2"/>
      <c r="BB53" s="2"/>
      <c r="BC53" s="2"/>
      <c r="BD53" s="2"/>
      <c r="BL53" s="48"/>
    </row>
    <row r="54" spans="1:78" ht="51" x14ac:dyDescent="0.2">
      <c r="A54" s="49" t="s">
        <v>58</v>
      </c>
      <c r="B54" s="50" t="s">
        <v>220</v>
      </c>
      <c r="C54" s="50" t="s">
        <v>221</v>
      </c>
      <c r="D54" s="50" t="s">
        <v>222</v>
      </c>
      <c r="E54" s="51" t="s">
        <v>59</v>
      </c>
      <c r="F54" s="51" t="s">
        <v>60</v>
      </c>
      <c r="G54" s="51" t="s">
        <v>61</v>
      </c>
      <c r="H54" s="51" t="s">
        <v>223</v>
      </c>
      <c r="I54" s="37" t="s">
        <v>224</v>
      </c>
      <c r="J54" s="2"/>
      <c r="K54" s="2"/>
      <c r="L54" s="2"/>
      <c r="M54" s="2"/>
      <c r="N54" s="2"/>
      <c r="O54" s="2"/>
      <c r="P54" s="2"/>
      <c r="Q54" s="2"/>
      <c r="R54" s="31"/>
      <c r="S54" s="31"/>
      <c r="T54" s="2"/>
      <c r="U54" s="31"/>
      <c r="V54" s="31"/>
      <c r="W54" s="2"/>
      <c r="X54" s="31"/>
      <c r="Y54" s="31"/>
      <c r="Z54" s="31"/>
      <c r="AA54" s="31"/>
      <c r="AB54" s="2"/>
      <c r="AC54" s="34"/>
      <c r="AD54" s="34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48"/>
      <c r="AU54" s="48"/>
      <c r="AV54" s="48"/>
      <c r="AW54" s="48"/>
      <c r="AX54" s="48"/>
      <c r="AY54" s="48"/>
      <c r="BA54" s="2"/>
      <c r="BB54" s="2"/>
      <c r="BC54" s="2"/>
      <c r="BD54" s="2"/>
    </row>
    <row r="55" spans="1:78" x14ac:dyDescent="0.2">
      <c r="A55" s="36" t="s">
        <v>73</v>
      </c>
      <c r="B55" s="39" t="s">
        <v>289</v>
      </c>
      <c r="C55" s="39">
        <v>3</v>
      </c>
      <c r="D55" s="39">
        <v>155.19999999999999</v>
      </c>
      <c r="E55" s="470" t="s">
        <v>225</v>
      </c>
      <c r="F55" s="471"/>
      <c r="G55" s="472"/>
      <c r="H55" s="39">
        <v>164.18</v>
      </c>
      <c r="I55" s="39">
        <v>3</v>
      </c>
      <c r="J55" s="40"/>
      <c r="K55" s="2"/>
      <c r="L55" s="2"/>
      <c r="M55" s="2"/>
      <c r="N55" s="2"/>
      <c r="O55" s="2"/>
      <c r="P55" s="2"/>
      <c r="Q55" s="33"/>
      <c r="R55" s="31"/>
      <c r="S55" s="31"/>
      <c r="T55" s="2"/>
      <c r="U55" s="31"/>
      <c r="V55" s="31"/>
      <c r="W55" s="2"/>
      <c r="X55" s="31"/>
      <c r="Y55" s="31"/>
      <c r="Z55" s="31"/>
      <c r="AA55" s="31"/>
      <c r="AB55" s="2"/>
      <c r="AC55" s="34"/>
      <c r="AD55" s="34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48"/>
      <c r="AU55" s="48"/>
      <c r="AV55" s="48"/>
      <c r="AW55" s="48"/>
      <c r="AX55" s="48"/>
      <c r="AY55" s="48"/>
      <c r="BA55" s="2"/>
      <c r="BB55" s="2"/>
      <c r="BC55" s="2"/>
      <c r="BD55" s="2"/>
    </row>
    <row r="56" spans="1:78" x14ac:dyDescent="0.2">
      <c r="A56" s="36" t="s">
        <v>73</v>
      </c>
      <c r="B56" s="39" t="s">
        <v>285</v>
      </c>
      <c r="C56" s="39">
        <v>18</v>
      </c>
      <c r="D56" s="39">
        <v>155.19999999999999</v>
      </c>
      <c r="E56" s="470" t="s">
        <v>225</v>
      </c>
      <c r="F56" s="471"/>
      <c r="G56" s="472"/>
      <c r="H56" s="39">
        <v>164.57</v>
      </c>
      <c r="I56" s="39">
        <v>3</v>
      </c>
      <c r="J56" s="2"/>
      <c r="K56" s="2"/>
      <c r="L56" s="2"/>
      <c r="M56" s="2"/>
      <c r="N56" s="2"/>
      <c r="O56" s="2"/>
      <c r="P56" s="2"/>
      <c r="Q56" s="33"/>
      <c r="R56" s="31"/>
      <c r="S56" s="31"/>
      <c r="T56" s="2"/>
      <c r="U56" s="31"/>
      <c r="V56" s="31"/>
      <c r="W56" s="2"/>
      <c r="X56" s="31"/>
      <c r="Y56" s="31"/>
      <c r="Z56" s="31"/>
      <c r="AA56" s="31"/>
      <c r="AB56" s="2"/>
      <c r="AC56" s="34"/>
      <c r="AD56" s="34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48"/>
      <c r="AU56" s="48"/>
      <c r="AV56" s="48"/>
      <c r="AW56" s="48"/>
      <c r="AX56" s="48"/>
      <c r="AY56" s="48"/>
      <c r="BA56" s="2"/>
      <c r="BB56" s="2"/>
      <c r="BC56" s="2"/>
      <c r="BD56" s="2"/>
      <c r="BK56" s="2"/>
    </row>
    <row r="57" spans="1:78" x14ac:dyDescent="0.2">
      <c r="A57" s="30"/>
      <c r="B57" s="31"/>
      <c r="C57" s="53"/>
      <c r="D57" s="30"/>
      <c r="E57" s="53"/>
      <c r="F57" s="33"/>
      <c r="G57" s="30"/>
      <c r="H57" s="30"/>
      <c r="I57" s="30"/>
      <c r="J57" s="2"/>
      <c r="K57" s="2"/>
      <c r="L57" s="2"/>
      <c r="M57" s="2"/>
      <c r="N57" s="2"/>
      <c r="O57" s="2"/>
      <c r="P57" s="2"/>
      <c r="Q57" s="33"/>
      <c r="BK57" s="2"/>
    </row>
    <row r="58" spans="1:78" ht="15.75" x14ac:dyDescent="0.2">
      <c r="A58" s="16" t="s">
        <v>20</v>
      </c>
      <c r="B58" s="17" t="s">
        <v>62</v>
      </c>
      <c r="C58" s="17" t="s">
        <v>63</v>
      </c>
      <c r="D58" s="17">
        <f>H55</f>
        <v>164.18</v>
      </c>
      <c r="E58" s="18" t="s">
        <v>50</v>
      </c>
      <c r="F58" s="17">
        <f>ROUND((1*1000000*100/7000/H55),2)</f>
        <v>87.01</v>
      </c>
      <c r="G58" s="1" t="s">
        <v>64</v>
      </c>
      <c r="M58" s="19"/>
      <c r="Q58" s="33"/>
      <c r="BI58" s="2"/>
      <c r="BJ58" s="2"/>
      <c r="BK58" s="48"/>
    </row>
    <row r="59" spans="1:78" ht="15.75" x14ac:dyDescent="0.2">
      <c r="A59" s="16" t="s">
        <v>21</v>
      </c>
      <c r="B59" s="17" t="s">
        <v>62</v>
      </c>
      <c r="C59" s="17" t="s">
        <v>63</v>
      </c>
      <c r="D59" s="17">
        <f>H56</f>
        <v>164.57</v>
      </c>
      <c r="E59" s="18" t="s">
        <v>50</v>
      </c>
      <c r="F59" s="17">
        <f>ROUND((1*1000000*100/7000/H56),2)</f>
        <v>86.81</v>
      </c>
      <c r="G59" s="1" t="s">
        <v>64</v>
      </c>
      <c r="M59" s="19"/>
      <c r="Q59" s="33"/>
      <c r="BI59" s="2"/>
      <c r="BJ59" s="2"/>
      <c r="BK59" s="48"/>
    </row>
    <row r="60" spans="1:78" ht="16.5" x14ac:dyDescent="0.25">
      <c r="A60" s="16" t="s">
        <v>226</v>
      </c>
      <c r="C60" s="20"/>
      <c r="E60" s="18" t="s">
        <v>50</v>
      </c>
      <c r="F60" s="17">
        <f>ROUND(((F58*I55+F59*I56)/(I55+I56)),3)</f>
        <v>86.91</v>
      </c>
      <c r="G60" s="21" t="s">
        <v>64</v>
      </c>
      <c r="M60" s="22"/>
      <c r="O60" s="22"/>
      <c r="Q60" s="33"/>
      <c r="U60" s="21"/>
      <c r="AO60" s="22"/>
      <c r="AQ60" s="22"/>
      <c r="AR60" s="22"/>
      <c r="AS60" s="12"/>
      <c r="AZ60" s="2"/>
      <c r="BB60" s="48"/>
      <c r="BC60" s="48"/>
      <c r="BD60" s="48"/>
      <c r="BF60" s="2"/>
      <c r="BG60" s="2"/>
      <c r="BH60" s="2"/>
      <c r="BI60" s="48"/>
      <c r="BJ60" s="48"/>
    </row>
    <row r="61" spans="1:78" x14ac:dyDescent="0.2">
      <c r="A61" s="16"/>
      <c r="C61" s="20"/>
      <c r="E61" s="29"/>
      <c r="G61" s="21"/>
      <c r="M61" s="22"/>
      <c r="O61" s="22"/>
      <c r="Q61" s="33"/>
      <c r="U61" s="21"/>
      <c r="AO61" s="22"/>
      <c r="AQ61" s="22"/>
      <c r="AR61" s="22"/>
      <c r="AS61" s="12"/>
      <c r="AZ61" s="2"/>
      <c r="BB61" s="48"/>
      <c r="BC61" s="48"/>
      <c r="BD61" s="48"/>
      <c r="BF61" s="2"/>
      <c r="BG61" s="2"/>
      <c r="BH61" s="2"/>
      <c r="BI61" s="48"/>
      <c r="BJ61" s="48"/>
    </row>
    <row r="62" spans="1:78" ht="18.75" x14ac:dyDescent="0.35">
      <c r="A62" s="23" t="s">
        <v>65</v>
      </c>
      <c r="B62" s="17" t="s">
        <v>62</v>
      </c>
      <c r="C62" s="17" t="s">
        <v>63</v>
      </c>
      <c r="D62" s="17">
        <f>F60</f>
        <v>86.91</v>
      </c>
      <c r="E62" s="18" t="s">
        <v>50</v>
      </c>
      <c r="F62" s="24">
        <f>ROUND((1*1000000*100/7000/D62),2)</f>
        <v>164.37</v>
      </c>
      <c r="G62" s="1" t="s">
        <v>66</v>
      </c>
      <c r="M62" s="27"/>
      <c r="Q62" s="33"/>
      <c r="AZ62" s="2"/>
      <c r="BF62" s="2"/>
      <c r="BG62" s="2"/>
      <c r="BH62" s="2"/>
      <c r="BI62" s="48"/>
      <c r="BJ62" s="48"/>
    </row>
    <row r="63" spans="1:78" x14ac:dyDescent="0.2">
      <c r="A63" s="16"/>
      <c r="C63" s="468"/>
      <c r="D63" s="468"/>
      <c r="Q63" s="33"/>
      <c r="AZ63" s="2"/>
      <c r="BF63" s="48"/>
      <c r="BG63" s="48"/>
      <c r="BH63" s="48"/>
    </row>
    <row r="64" spans="1:78" ht="20.25" x14ac:dyDescent="0.35">
      <c r="A64" s="23" t="s">
        <v>67</v>
      </c>
      <c r="B64" s="1" t="s">
        <v>50</v>
      </c>
      <c r="C64" s="79" t="e">
        <f>ROUND(((#REF!+#REF!)/0.978),2)</f>
        <v>#REF!</v>
      </c>
      <c r="D64" s="25" t="s">
        <v>51</v>
      </c>
      <c r="E64" s="25">
        <f>F62</f>
        <v>164.37</v>
      </c>
      <c r="F64" s="25" t="s">
        <v>50</v>
      </c>
      <c r="G64" s="53" t="e">
        <f>ROUND((C64*E64),0)</f>
        <v>#REF!</v>
      </c>
      <c r="H64" s="34" t="s">
        <v>68</v>
      </c>
      <c r="J64" s="16"/>
      <c r="K64" s="16"/>
      <c r="L64" s="16"/>
      <c r="M64" s="16"/>
      <c r="Q64" s="33"/>
      <c r="AZ64" s="2"/>
      <c r="BF64" s="48"/>
      <c r="BG64" s="48"/>
      <c r="BH64" s="48"/>
    </row>
    <row r="65" spans="1:68" ht="15.75" x14ac:dyDescent="0.25">
      <c r="A65" s="23"/>
      <c r="C65" s="79"/>
      <c r="D65" s="25"/>
      <c r="E65" s="25"/>
      <c r="F65" s="25"/>
      <c r="G65" s="53"/>
      <c r="H65" s="30"/>
      <c r="J65" s="16"/>
      <c r="K65" s="16"/>
      <c r="L65" s="16"/>
      <c r="M65" s="16"/>
      <c r="O65" s="22"/>
      <c r="P65" s="2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</row>
    <row r="66" spans="1:68" ht="15.75" x14ac:dyDescent="0.25">
      <c r="A66" s="10" t="s">
        <v>181</v>
      </c>
      <c r="B66" s="11"/>
      <c r="C66" s="35"/>
      <c r="D66" s="35"/>
      <c r="E66" s="35"/>
      <c r="F66" s="35"/>
      <c r="G66" s="35"/>
      <c r="H66" s="35"/>
      <c r="I66" s="2"/>
      <c r="J66" s="2"/>
      <c r="K66" s="2"/>
      <c r="L66" s="2"/>
      <c r="M66" s="2"/>
      <c r="N66" s="2"/>
      <c r="O66" s="32"/>
      <c r="P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</row>
    <row r="67" spans="1:68" ht="10.5" customHeight="1" x14ac:dyDescent="0.2">
      <c r="A67" s="35"/>
      <c r="B67" s="35"/>
      <c r="C67" s="35"/>
      <c r="D67" s="35"/>
      <c r="E67" s="35"/>
      <c r="F67" s="35"/>
      <c r="G67" s="35"/>
      <c r="H67" s="35"/>
      <c r="I67" s="2"/>
      <c r="J67" s="40"/>
      <c r="K67" s="2"/>
      <c r="L67" s="2"/>
      <c r="M67" s="2"/>
      <c r="N67" s="2"/>
      <c r="O67" s="2"/>
      <c r="P67" s="2"/>
      <c r="R67" s="31"/>
      <c r="S67" s="53"/>
      <c r="T67" s="477"/>
      <c r="U67" s="477"/>
      <c r="V67" s="2"/>
      <c r="W67" s="478"/>
      <c r="X67" s="478"/>
      <c r="Y67" s="478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</row>
    <row r="68" spans="1:68" ht="51" x14ac:dyDescent="0.2">
      <c r="A68" s="49" t="s">
        <v>58</v>
      </c>
      <c r="B68" s="50" t="s">
        <v>220</v>
      </c>
      <c r="C68" s="50" t="s">
        <v>221</v>
      </c>
      <c r="D68" s="50" t="s">
        <v>222</v>
      </c>
      <c r="E68" s="51" t="s">
        <v>59</v>
      </c>
      <c r="F68" s="51" t="s">
        <v>60</v>
      </c>
      <c r="G68" s="51" t="s">
        <v>61</v>
      </c>
      <c r="H68" s="51" t="s">
        <v>223</v>
      </c>
      <c r="I68" s="37" t="s">
        <v>224</v>
      </c>
      <c r="J68" s="2"/>
      <c r="K68" s="2"/>
      <c r="L68" s="2"/>
      <c r="M68" s="2"/>
      <c r="N68" s="2"/>
      <c r="O68" s="2"/>
      <c r="P68" s="2"/>
      <c r="Q68" s="20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</row>
    <row r="69" spans="1:68" x14ac:dyDescent="0.2">
      <c r="A69" s="36" t="s">
        <v>73</v>
      </c>
      <c r="B69" s="39">
        <v>2005</v>
      </c>
      <c r="C69" s="39">
        <v>15</v>
      </c>
      <c r="D69" s="39">
        <v>155.19999999999999</v>
      </c>
      <c r="E69" s="470" t="s">
        <v>225</v>
      </c>
      <c r="F69" s="471"/>
      <c r="G69" s="472"/>
      <c r="H69" s="39">
        <v>160.26</v>
      </c>
      <c r="I69" s="39">
        <v>3</v>
      </c>
      <c r="J69" s="2"/>
      <c r="K69" s="2"/>
      <c r="L69" s="2"/>
      <c r="M69" s="2"/>
      <c r="N69" s="2"/>
      <c r="O69" s="2"/>
      <c r="P69" s="2"/>
      <c r="R69" s="31"/>
      <c r="S69" s="31"/>
      <c r="T69" s="2"/>
      <c r="U69" s="477"/>
      <c r="V69" s="477"/>
      <c r="W69" s="2"/>
      <c r="X69" s="477"/>
      <c r="Y69" s="477"/>
      <c r="Z69" s="477"/>
      <c r="AA69" s="477"/>
      <c r="AB69" s="2"/>
      <c r="AC69" s="476"/>
      <c r="AD69" s="476"/>
      <c r="AE69" s="2"/>
      <c r="AF69" s="2"/>
      <c r="AG69" s="2"/>
      <c r="AH69" s="2"/>
      <c r="AI69" s="2"/>
      <c r="AJ69" s="2"/>
      <c r="AK69" s="2"/>
      <c r="AL69" s="2"/>
      <c r="AM69" s="2"/>
      <c r="AN69" s="2"/>
    </row>
    <row r="70" spans="1:68" x14ac:dyDescent="0.2">
      <c r="A70" s="36" t="s">
        <v>286</v>
      </c>
      <c r="B70" s="39">
        <v>2002</v>
      </c>
      <c r="C70" s="39">
        <v>18</v>
      </c>
      <c r="D70" s="39">
        <v>156.9</v>
      </c>
      <c r="E70" s="470" t="s">
        <v>225</v>
      </c>
      <c r="F70" s="471"/>
      <c r="G70" s="472"/>
      <c r="H70" s="39">
        <v>159.15</v>
      </c>
      <c r="I70" s="39">
        <v>0.86</v>
      </c>
      <c r="J70" s="2"/>
      <c r="K70" s="2"/>
      <c r="L70" s="2"/>
      <c r="M70" s="2"/>
      <c r="N70" s="2"/>
      <c r="O70" s="2"/>
      <c r="P70" s="2"/>
      <c r="R70" s="31"/>
      <c r="S70" s="31"/>
      <c r="T70" s="2"/>
      <c r="U70" s="31"/>
      <c r="V70" s="31"/>
      <c r="W70" s="2"/>
      <c r="X70" s="31"/>
      <c r="Y70" s="31"/>
      <c r="Z70" s="31"/>
      <c r="AA70" s="31"/>
      <c r="AB70" s="2"/>
      <c r="AC70" s="34"/>
      <c r="AD70" s="34"/>
      <c r="AE70" s="2"/>
      <c r="AF70" s="2"/>
      <c r="AG70" s="2"/>
      <c r="AH70" s="2"/>
      <c r="AI70" s="2"/>
      <c r="AJ70" s="2"/>
      <c r="AK70" s="2"/>
      <c r="AL70" s="2"/>
      <c r="AM70" s="2"/>
      <c r="AN70" s="2"/>
    </row>
    <row r="71" spans="1:68" x14ac:dyDescent="0.2">
      <c r="A71" s="36" t="s">
        <v>286</v>
      </c>
      <c r="B71" s="39">
        <v>2002</v>
      </c>
      <c r="C71" s="39">
        <v>18</v>
      </c>
      <c r="D71" s="39">
        <v>156.9</v>
      </c>
      <c r="E71" s="470" t="s">
        <v>225</v>
      </c>
      <c r="F71" s="471"/>
      <c r="G71" s="472"/>
      <c r="H71" s="39">
        <v>164.27</v>
      </c>
      <c r="I71" s="39">
        <v>0.86</v>
      </c>
      <c r="J71" s="2"/>
      <c r="K71" s="2"/>
      <c r="L71" s="2"/>
      <c r="M71" s="2"/>
      <c r="N71" s="2"/>
      <c r="O71" s="2"/>
      <c r="P71" s="2"/>
      <c r="R71" s="31"/>
      <c r="S71" s="31"/>
      <c r="T71" s="2"/>
      <c r="U71" s="31"/>
      <c r="V71" s="31"/>
      <c r="W71" s="2"/>
      <c r="X71" s="31"/>
      <c r="Y71" s="31"/>
      <c r="Z71" s="31"/>
      <c r="AA71" s="31"/>
      <c r="AB71" s="2"/>
      <c r="AC71" s="34"/>
      <c r="AD71" s="34"/>
      <c r="AE71" s="2"/>
      <c r="AF71" s="2"/>
      <c r="AG71" s="2"/>
      <c r="AH71" s="2"/>
      <c r="AI71" s="2"/>
      <c r="AJ71" s="2"/>
      <c r="AK71" s="2"/>
      <c r="AL71" s="2"/>
      <c r="AM71" s="2"/>
      <c r="AN71" s="2"/>
    </row>
    <row r="72" spans="1:68" x14ac:dyDescent="0.2">
      <c r="A72" s="41"/>
      <c r="B72" s="42"/>
      <c r="C72" s="42"/>
      <c r="D72" s="42"/>
      <c r="E72" s="42"/>
      <c r="F72" s="42"/>
      <c r="G72" s="42"/>
      <c r="H72" s="42"/>
      <c r="I72" s="42"/>
      <c r="J72" s="2"/>
      <c r="K72" s="2"/>
      <c r="L72" s="2"/>
      <c r="M72" s="2"/>
      <c r="N72" s="2"/>
      <c r="O72" s="2"/>
      <c r="P72" s="2"/>
      <c r="R72" s="31"/>
      <c r="S72" s="31"/>
      <c r="T72" s="2"/>
      <c r="U72" s="31"/>
      <c r="V72" s="31"/>
      <c r="W72" s="2"/>
      <c r="X72" s="31"/>
      <c r="Y72" s="31"/>
      <c r="Z72" s="31"/>
      <c r="AA72" s="31"/>
      <c r="AB72" s="2"/>
      <c r="AC72" s="34"/>
      <c r="AD72" s="34"/>
      <c r="AE72" s="2"/>
      <c r="AF72" s="2"/>
      <c r="AG72" s="2"/>
      <c r="AH72" s="2"/>
      <c r="AI72" s="2"/>
      <c r="AJ72" s="2"/>
      <c r="AK72" s="2"/>
      <c r="AL72" s="2"/>
      <c r="AM72" s="2"/>
      <c r="AN72" s="2"/>
    </row>
    <row r="73" spans="1:68" x14ac:dyDescent="0.2">
      <c r="A73" s="41"/>
      <c r="B73" s="42"/>
      <c r="C73" s="42"/>
      <c r="D73" s="42"/>
      <c r="E73" s="42"/>
      <c r="F73" s="42"/>
      <c r="G73" s="42"/>
      <c r="H73" s="42"/>
      <c r="I73" s="42"/>
      <c r="J73" s="2"/>
      <c r="K73" s="2"/>
      <c r="L73" s="2"/>
      <c r="M73" s="2"/>
      <c r="N73" s="2"/>
      <c r="O73" s="2"/>
      <c r="P73" s="2"/>
      <c r="R73" s="31"/>
      <c r="S73" s="31"/>
      <c r="T73" s="2"/>
      <c r="U73" s="31"/>
      <c r="V73" s="31"/>
      <c r="W73" s="2"/>
      <c r="X73" s="31"/>
      <c r="Y73" s="31"/>
      <c r="Z73" s="31"/>
      <c r="AA73" s="31"/>
      <c r="AB73" s="2"/>
      <c r="AC73" s="34"/>
      <c r="AD73" s="34"/>
      <c r="AE73" s="2"/>
      <c r="AF73" s="2"/>
      <c r="AG73" s="2"/>
      <c r="AH73" s="2"/>
      <c r="AI73" s="2"/>
      <c r="AJ73" s="2"/>
      <c r="AK73" s="2"/>
      <c r="AL73" s="2"/>
      <c r="AM73" s="2"/>
      <c r="AN73" s="2"/>
    </row>
    <row r="74" spans="1:68" s="2" customFormat="1" ht="15.75" x14ac:dyDescent="0.2">
      <c r="A74" s="16" t="s">
        <v>20</v>
      </c>
      <c r="B74" s="17" t="s">
        <v>62</v>
      </c>
      <c r="C74" s="17" t="s">
        <v>69</v>
      </c>
      <c r="D74" s="17">
        <f>H69</f>
        <v>160.26</v>
      </c>
      <c r="E74" s="18" t="s">
        <v>50</v>
      </c>
      <c r="F74" s="17">
        <f>ROUND((1*1000000*100/7000/H69),2)</f>
        <v>89.14</v>
      </c>
      <c r="G74" s="1" t="s">
        <v>64</v>
      </c>
      <c r="H74" s="1"/>
      <c r="I74" s="1"/>
      <c r="M74" s="43"/>
      <c r="AN74" s="48"/>
      <c r="AO74" s="48"/>
      <c r="AP74" s="48"/>
      <c r="BJ74" s="48"/>
    </row>
    <row r="75" spans="1:68" s="2" customFormat="1" ht="20.100000000000001" customHeight="1" x14ac:dyDescent="0.2">
      <c r="A75" s="16" t="s">
        <v>21</v>
      </c>
      <c r="B75" s="17" t="s">
        <v>62</v>
      </c>
      <c r="C75" s="17" t="s">
        <v>63</v>
      </c>
      <c r="D75" s="17">
        <f>H70</f>
        <v>159.15</v>
      </c>
      <c r="E75" s="18" t="s">
        <v>50</v>
      </c>
      <c r="F75" s="17">
        <f>ROUND((1*1000000*100/7000/H70),2)</f>
        <v>89.76</v>
      </c>
      <c r="G75" s="1" t="s">
        <v>64</v>
      </c>
      <c r="H75" s="1"/>
      <c r="I75" s="1"/>
      <c r="M75" s="43"/>
      <c r="BJ75" s="48"/>
      <c r="BO75" s="1"/>
      <c r="BP75" s="1"/>
    </row>
    <row r="76" spans="1:68" ht="15.75" x14ac:dyDescent="0.2">
      <c r="A76" s="16" t="s">
        <v>20</v>
      </c>
      <c r="B76" s="17" t="s">
        <v>62</v>
      </c>
      <c r="C76" s="17" t="s">
        <v>63</v>
      </c>
      <c r="D76" s="17">
        <f>H71</f>
        <v>164.27</v>
      </c>
      <c r="E76" s="18" t="s">
        <v>50</v>
      </c>
      <c r="F76" s="17">
        <f>ROUND((1*1000000*100/7000/H71),2)</f>
        <v>86.96</v>
      </c>
      <c r="G76" s="1" t="s">
        <v>64</v>
      </c>
      <c r="M76" s="19"/>
    </row>
    <row r="77" spans="1:68" ht="16.5" x14ac:dyDescent="0.25">
      <c r="A77" s="16" t="s">
        <v>26</v>
      </c>
      <c r="C77" s="20"/>
      <c r="D77" s="17"/>
      <c r="E77" s="18"/>
      <c r="F77" s="17">
        <f>ROUND(((F74*I69+F75*I70+F76*I71)/(I69+I70+I71)),2)</f>
        <v>88.86</v>
      </c>
      <c r="G77" s="21" t="s">
        <v>64</v>
      </c>
      <c r="M77" s="22"/>
      <c r="O77" s="22"/>
    </row>
    <row r="78" spans="1:68" x14ac:dyDescent="0.2">
      <c r="A78" s="16"/>
      <c r="C78" s="20"/>
      <c r="D78" s="17"/>
      <c r="E78" s="18"/>
      <c r="F78" s="17"/>
      <c r="G78" s="21"/>
      <c r="M78" s="22"/>
      <c r="O78" s="22"/>
    </row>
    <row r="79" spans="1:68" ht="15" customHeight="1" x14ac:dyDescent="0.35">
      <c r="A79" s="23" t="s">
        <v>65</v>
      </c>
      <c r="B79" s="17" t="s">
        <v>62</v>
      </c>
      <c r="C79" s="17" t="s">
        <v>63</v>
      </c>
      <c r="D79" s="17">
        <f>F77</f>
        <v>88.86</v>
      </c>
      <c r="E79" s="18" t="s">
        <v>50</v>
      </c>
      <c r="F79" s="24">
        <f>ROUND((1*1000000*100/7000/D79),2)</f>
        <v>160.77000000000001</v>
      </c>
      <c r="G79" s="1" t="s">
        <v>66</v>
      </c>
      <c r="M79" s="27"/>
    </row>
    <row r="80" spans="1:68" x14ac:dyDescent="0.2">
      <c r="A80" s="16"/>
      <c r="C80" s="468"/>
      <c r="D80" s="468"/>
      <c r="Q80" s="2"/>
    </row>
    <row r="81" spans="1:63" ht="20.25" x14ac:dyDescent="0.35">
      <c r="A81" s="23" t="s">
        <v>67</v>
      </c>
      <c r="B81" s="1" t="s">
        <v>50</v>
      </c>
      <c r="C81" s="79" t="e">
        <f>ROUND((#REF!+#REF!)/0.978,2)</f>
        <v>#REF!</v>
      </c>
      <c r="D81" s="25" t="s">
        <v>51</v>
      </c>
      <c r="E81" s="25">
        <f>F79</f>
        <v>160.77000000000001</v>
      </c>
      <c r="F81" s="25" t="s">
        <v>50</v>
      </c>
      <c r="G81" s="53" t="e">
        <f>ROUND((C81*E81),0)</f>
        <v>#REF!</v>
      </c>
      <c r="H81" s="34" t="s">
        <v>68</v>
      </c>
      <c r="J81" s="468"/>
      <c r="K81" s="468"/>
      <c r="L81" s="469"/>
      <c r="M81" s="469"/>
      <c r="Q81" s="31"/>
    </row>
    <row r="82" spans="1:63" x14ac:dyDescent="0.2">
      <c r="A82" s="2"/>
      <c r="B82" s="2"/>
      <c r="C82" s="2"/>
      <c r="D82" s="2"/>
      <c r="E82" s="2"/>
      <c r="F82" s="2"/>
      <c r="G82" s="2"/>
      <c r="H82" s="2"/>
      <c r="I82" s="2"/>
      <c r="J82" s="9"/>
      <c r="K82" s="31"/>
      <c r="L82" s="34"/>
      <c r="M82" s="34"/>
      <c r="N82" s="2"/>
      <c r="O82" s="2"/>
      <c r="P82" s="2"/>
    </row>
    <row r="83" spans="1:63" x14ac:dyDescent="0.2">
      <c r="A83" s="2"/>
      <c r="B83" s="2"/>
      <c r="C83" s="2"/>
      <c r="D83" s="2"/>
      <c r="E83" s="2"/>
      <c r="F83" s="2"/>
      <c r="G83" s="2"/>
      <c r="H83" s="2"/>
      <c r="I83" s="2"/>
    </row>
    <row r="84" spans="1:63" x14ac:dyDescent="0.2">
      <c r="A84" s="16"/>
      <c r="B84" s="28"/>
      <c r="C84" s="16"/>
      <c r="D84" s="28"/>
      <c r="E84" s="29"/>
      <c r="M84" s="19"/>
    </row>
    <row r="85" spans="1:63" ht="15.75" x14ac:dyDescent="0.25">
      <c r="A85" s="16"/>
      <c r="B85" s="28"/>
      <c r="C85" s="56" t="s">
        <v>227</v>
      </c>
      <c r="D85" s="28"/>
      <c r="E85" s="29"/>
      <c r="M85" s="19"/>
    </row>
    <row r="86" spans="1:63" x14ac:dyDescent="0.2">
      <c r="A86" s="16"/>
      <c r="B86" s="28"/>
      <c r="C86" s="16"/>
      <c r="D86" s="28"/>
      <c r="E86" s="29"/>
      <c r="M86" s="19"/>
      <c r="O86" s="16"/>
    </row>
    <row r="87" spans="1:63" ht="15.75" x14ac:dyDescent="0.25">
      <c r="A87" s="334" t="s">
        <v>182</v>
      </c>
      <c r="B87" s="80"/>
    </row>
    <row r="88" spans="1:63" ht="15.75" x14ac:dyDescent="0.25">
      <c r="A88" s="423"/>
      <c r="B88" s="424"/>
    </row>
    <row r="89" spans="1:63" ht="51" x14ac:dyDescent="0.2">
      <c r="A89" s="49" t="s">
        <v>58</v>
      </c>
      <c r="B89" s="50" t="s">
        <v>220</v>
      </c>
      <c r="C89" s="50" t="s">
        <v>221</v>
      </c>
      <c r="D89" s="50" t="s">
        <v>222</v>
      </c>
      <c r="E89" s="51" t="s">
        <v>59</v>
      </c>
      <c r="F89" s="51" t="s">
        <v>60</v>
      </c>
      <c r="G89" s="51" t="s">
        <v>61</v>
      </c>
      <c r="H89" s="51" t="s">
        <v>223</v>
      </c>
      <c r="I89" s="37" t="s">
        <v>224</v>
      </c>
      <c r="J89" s="2"/>
      <c r="K89" s="2"/>
      <c r="L89" s="2"/>
      <c r="M89" s="2"/>
      <c r="N89" s="2"/>
      <c r="O89" s="2"/>
      <c r="P89" s="2"/>
      <c r="Q89" s="2"/>
      <c r="R89" s="31"/>
      <c r="S89" s="31"/>
      <c r="T89" s="2"/>
      <c r="U89" s="31"/>
      <c r="V89" s="31"/>
      <c r="W89" s="2"/>
      <c r="X89" s="31"/>
      <c r="Y89" s="31"/>
      <c r="Z89" s="31"/>
      <c r="AA89" s="31"/>
      <c r="AB89" s="2"/>
      <c r="AC89" s="34"/>
      <c r="AD89" s="34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48"/>
      <c r="AU89" s="48"/>
      <c r="AV89" s="48"/>
      <c r="AW89" s="48"/>
      <c r="AX89" s="48"/>
      <c r="AY89" s="48"/>
      <c r="BA89" s="2"/>
      <c r="BB89" s="2"/>
      <c r="BC89" s="2"/>
      <c r="BD89" s="2"/>
    </row>
    <row r="90" spans="1:63" x14ac:dyDescent="0.2">
      <c r="A90" s="36" t="s">
        <v>266</v>
      </c>
      <c r="B90" s="39">
        <v>2014</v>
      </c>
      <c r="C90" s="39">
        <v>6</v>
      </c>
      <c r="D90" s="39">
        <v>158.69999999999999</v>
      </c>
      <c r="E90" s="470" t="s">
        <v>225</v>
      </c>
      <c r="F90" s="471"/>
      <c r="G90" s="472"/>
      <c r="H90" s="39">
        <v>161.52000000000001</v>
      </c>
      <c r="I90" s="39">
        <v>8.3000000000000004E-2</v>
      </c>
      <c r="J90" s="40"/>
      <c r="K90" s="2"/>
      <c r="L90" s="2"/>
      <c r="M90" s="2"/>
      <c r="N90" s="2"/>
      <c r="O90" s="2"/>
      <c r="P90" s="2"/>
      <c r="Q90" s="33"/>
      <c r="R90" s="31"/>
      <c r="S90" s="31"/>
      <c r="T90" s="2"/>
      <c r="U90" s="31"/>
      <c r="V90" s="31"/>
      <c r="W90" s="2"/>
      <c r="X90" s="31"/>
      <c r="Y90" s="31"/>
      <c r="Z90" s="31"/>
      <c r="AA90" s="31"/>
      <c r="AB90" s="2"/>
      <c r="AC90" s="34"/>
      <c r="AD90" s="34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48"/>
      <c r="AU90" s="48"/>
      <c r="AV90" s="48"/>
      <c r="AW90" s="48"/>
      <c r="AX90" s="48"/>
      <c r="AY90" s="48"/>
      <c r="BA90" s="2"/>
      <c r="BB90" s="2"/>
      <c r="BC90" s="2"/>
      <c r="BD90" s="2"/>
    </row>
    <row r="91" spans="1:63" x14ac:dyDescent="0.2">
      <c r="A91" s="36" t="s">
        <v>290</v>
      </c>
      <c r="B91" s="39">
        <v>2014</v>
      </c>
      <c r="C91" s="39">
        <v>6</v>
      </c>
      <c r="D91" s="39">
        <v>155.19999999999999</v>
      </c>
      <c r="E91" s="470" t="s">
        <v>225</v>
      </c>
      <c r="F91" s="471"/>
      <c r="G91" s="472"/>
      <c r="H91" s="39">
        <v>158.81</v>
      </c>
      <c r="I91" s="39">
        <v>2.5999999999999999E-2</v>
      </c>
      <c r="J91" s="2"/>
      <c r="K91" s="2"/>
      <c r="L91" s="2"/>
      <c r="M91" s="2"/>
      <c r="N91" s="2"/>
      <c r="O91" s="2"/>
      <c r="P91" s="2"/>
      <c r="Q91" s="33"/>
      <c r="R91" s="31"/>
      <c r="S91" s="31"/>
      <c r="T91" s="2"/>
      <c r="U91" s="31"/>
      <c r="V91" s="31"/>
      <c r="W91" s="2"/>
      <c r="X91" s="31"/>
      <c r="Y91" s="31"/>
      <c r="Z91" s="31"/>
      <c r="AA91" s="31"/>
      <c r="AB91" s="2"/>
      <c r="AC91" s="34"/>
      <c r="AD91" s="34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48"/>
      <c r="AU91" s="48"/>
      <c r="AV91" s="48"/>
      <c r="AW91" s="48"/>
      <c r="AX91" s="48"/>
      <c r="AY91" s="48"/>
      <c r="BA91" s="2"/>
      <c r="BB91" s="2"/>
      <c r="BC91" s="2"/>
      <c r="BD91" s="2"/>
      <c r="BK91" s="2"/>
    </row>
    <row r="92" spans="1:63" x14ac:dyDescent="0.2">
      <c r="A92" s="30"/>
      <c r="B92" s="31"/>
      <c r="C92" s="53"/>
      <c r="D92" s="30"/>
      <c r="E92" s="53"/>
      <c r="F92" s="33"/>
      <c r="G92" s="30"/>
      <c r="H92" s="30"/>
      <c r="I92" s="30"/>
      <c r="J92" s="2"/>
      <c r="K92" s="2"/>
      <c r="L92" s="2"/>
      <c r="M92" s="2"/>
      <c r="N92" s="2"/>
      <c r="O92" s="2"/>
      <c r="P92" s="2"/>
      <c r="Q92" s="33"/>
      <c r="BK92" s="2"/>
    </row>
    <row r="93" spans="1:63" ht="15.75" x14ac:dyDescent="0.2">
      <c r="A93" s="16" t="s">
        <v>20</v>
      </c>
      <c r="B93" s="17" t="s">
        <v>62</v>
      </c>
      <c r="C93" s="17" t="s">
        <v>63</v>
      </c>
      <c r="D93" s="17">
        <f>H90</f>
        <v>161.52000000000001</v>
      </c>
      <c r="E93" s="18" t="s">
        <v>50</v>
      </c>
      <c r="F93" s="17">
        <f>ROUND((1*1000000*100/7000/H90),2)</f>
        <v>88.45</v>
      </c>
      <c r="G93" s="1" t="s">
        <v>64</v>
      </c>
      <c r="M93" s="19"/>
      <c r="Q93" s="33"/>
      <c r="BI93" s="2"/>
      <c r="BJ93" s="2"/>
      <c r="BK93" s="48"/>
    </row>
    <row r="94" spans="1:63" ht="15.75" x14ac:dyDescent="0.2">
      <c r="A94" s="16" t="s">
        <v>21</v>
      </c>
      <c r="B94" s="17" t="s">
        <v>62</v>
      </c>
      <c r="C94" s="17" t="s">
        <v>63</v>
      </c>
      <c r="D94" s="17">
        <f>H91</f>
        <v>158.81</v>
      </c>
      <c r="E94" s="18" t="s">
        <v>50</v>
      </c>
      <c r="F94" s="17">
        <f>ROUND((1*1000000*100/7000/H91),2)</f>
        <v>89.95</v>
      </c>
      <c r="G94" s="1" t="s">
        <v>64</v>
      </c>
      <c r="M94" s="19"/>
      <c r="Q94" s="33"/>
      <c r="BI94" s="2"/>
      <c r="BJ94" s="2"/>
      <c r="BK94" s="48"/>
    </row>
    <row r="95" spans="1:63" ht="16.5" x14ac:dyDescent="0.25">
      <c r="A95" s="16" t="s">
        <v>226</v>
      </c>
      <c r="C95" s="20"/>
      <c r="E95" s="18" t="s">
        <v>50</v>
      </c>
      <c r="F95" s="17">
        <f>ROUND(((F93*I90+F94*I91)/(I90+I91)),3)</f>
        <v>88.808000000000007</v>
      </c>
      <c r="G95" s="21" t="s">
        <v>64</v>
      </c>
      <c r="M95" s="22"/>
      <c r="O95" s="22"/>
      <c r="Q95" s="33"/>
      <c r="U95" s="21"/>
      <c r="AO95" s="22"/>
      <c r="AQ95" s="22"/>
      <c r="AR95" s="22"/>
      <c r="AS95" s="12"/>
      <c r="AZ95" s="2"/>
      <c r="BB95" s="48"/>
      <c r="BC95" s="48"/>
      <c r="BD95" s="48"/>
      <c r="BF95" s="2"/>
      <c r="BG95" s="2"/>
      <c r="BH95" s="2"/>
      <c r="BI95" s="48"/>
      <c r="BJ95" s="48"/>
    </row>
    <row r="96" spans="1:63" x14ac:dyDescent="0.2">
      <c r="A96" s="16"/>
      <c r="C96" s="20"/>
      <c r="E96" s="29"/>
      <c r="G96" s="21"/>
      <c r="M96" s="22"/>
      <c r="O96" s="22"/>
      <c r="Q96" s="33"/>
      <c r="U96" s="21"/>
      <c r="AO96" s="22"/>
      <c r="AQ96" s="22"/>
      <c r="AR96" s="22"/>
      <c r="AS96" s="12"/>
      <c r="AZ96" s="2"/>
      <c r="BB96" s="48"/>
      <c r="BC96" s="48"/>
      <c r="BD96" s="48"/>
      <c r="BF96" s="2"/>
      <c r="BG96" s="2"/>
      <c r="BH96" s="2"/>
      <c r="BI96" s="48"/>
      <c r="BJ96" s="48"/>
    </row>
    <row r="97" spans="1:78" ht="18.75" x14ac:dyDescent="0.35">
      <c r="A97" s="23" t="s">
        <v>65</v>
      </c>
      <c r="B97" s="17" t="s">
        <v>62</v>
      </c>
      <c r="C97" s="17" t="s">
        <v>63</v>
      </c>
      <c r="D97" s="17">
        <f>F95</f>
        <v>88.808000000000007</v>
      </c>
      <c r="E97" s="18" t="s">
        <v>50</v>
      </c>
      <c r="F97" s="24">
        <f>ROUND((1*1000000*100/7000/D97),2)</f>
        <v>160.86000000000001</v>
      </c>
      <c r="G97" s="1" t="s">
        <v>66</v>
      </c>
      <c r="M97" s="27"/>
      <c r="Q97" s="33"/>
      <c r="AZ97" s="2"/>
      <c r="BF97" s="2"/>
      <c r="BG97" s="2"/>
      <c r="BH97" s="2"/>
      <c r="BI97" s="48"/>
      <c r="BJ97" s="48"/>
    </row>
    <row r="98" spans="1:78" x14ac:dyDescent="0.2">
      <c r="A98" s="16"/>
      <c r="C98" s="468"/>
      <c r="D98" s="468"/>
      <c r="Q98" s="33"/>
      <c r="AZ98" s="2"/>
      <c r="BF98" s="48"/>
      <c r="BG98" s="48"/>
      <c r="BH98" s="48"/>
    </row>
    <row r="99" spans="1:78" ht="20.25" x14ac:dyDescent="0.35">
      <c r="A99" s="23" t="s">
        <v>67</v>
      </c>
      <c r="B99" s="1" t="s">
        <v>50</v>
      </c>
      <c r="C99" s="79" t="e">
        <f>ROUND(((#REF!+#REF!)/0.978),2)</f>
        <v>#REF!</v>
      </c>
      <c r="D99" s="25" t="s">
        <v>51</v>
      </c>
      <c r="E99" s="25">
        <f>F97</f>
        <v>160.86000000000001</v>
      </c>
      <c r="F99" s="25" t="s">
        <v>50</v>
      </c>
      <c r="G99" s="53" t="e">
        <f>ROUND((C99*E99),0)</f>
        <v>#REF!</v>
      </c>
      <c r="H99" s="34" t="s">
        <v>68</v>
      </c>
      <c r="J99" s="16"/>
      <c r="K99" s="16"/>
      <c r="L99" s="16"/>
      <c r="M99" s="16"/>
      <c r="Q99" s="33"/>
      <c r="AZ99" s="2"/>
      <c r="BF99" s="48"/>
      <c r="BG99" s="48"/>
      <c r="BH99" s="48"/>
    </row>
    <row r="100" spans="1:78" ht="15.75" x14ac:dyDescent="0.25">
      <c r="A100" s="23"/>
      <c r="C100" s="79"/>
      <c r="D100" s="25"/>
      <c r="E100" s="25"/>
      <c r="F100" s="25"/>
      <c r="G100" s="53"/>
      <c r="H100" s="34"/>
      <c r="J100" s="468"/>
      <c r="K100" s="468"/>
      <c r="L100" s="469"/>
      <c r="M100" s="469"/>
      <c r="Q100" s="31"/>
    </row>
    <row r="101" spans="1:78" ht="15.75" x14ac:dyDescent="0.25">
      <c r="A101" s="23"/>
      <c r="B101" s="17"/>
      <c r="C101" s="17"/>
      <c r="D101" s="17"/>
      <c r="E101" s="18"/>
      <c r="F101" s="24"/>
      <c r="M101" s="27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BE101" s="2"/>
      <c r="BL101" s="2"/>
      <c r="BM101" s="48"/>
      <c r="BN101" s="48"/>
      <c r="BU101" s="48"/>
      <c r="BV101" s="48"/>
      <c r="BW101" s="48"/>
      <c r="BX101" s="48"/>
      <c r="BY101" s="48"/>
      <c r="BZ101" s="48"/>
    </row>
    <row r="102" spans="1:78" ht="15.75" x14ac:dyDescent="0.25">
      <c r="A102" s="335" t="s">
        <v>229</v>
      </c>
      <c r="B102" s="80"/>
    </row>
    <row r="103" spans="1:78" ht="15.75" x14ac:dyDescent="0.25">
      <c r="A103" s="423"/>
      <c r="B103" s="424"/>
    </row>
    <row r="104" spans="1:78" ht="51" x14ac:dyDescent="0.2">
      <c r="A104" s="49" t="s">
        <v>58</v>
      </c>
      <c r="B104" s="50" t="s">
        <v>220</v>
      </c>
      <c r="C104" s="50" t="s">
        <v>221</v>
      </c>
      <c r="D104" s="50" t="s">
        <v>222</v>
      </c>
      <c r="E104" s="51" t="s">
        <v>59</v>
      </c>
      <c r="F104" s="51" t="s">
        <v>60</v>
      </c>
      <c r="G104" s="51" t="s">
        <v>61</v>
      </c>
      <c r="H104" s="51" t="s">
        <v>223</v>
      </c>
      <c r="I104" s="37" t="s">
        <v>224</v>
      </c>
      <c r="J104" s="2"/>
      <c r="K104" s="2"/>
      <c r="L104" s="2"/>
      <c r="M104" s="2"/>
      <c r="N104" s="2"/>
      <c r="O104" s="2"/>
      <c r="P104" s="2"/>
      <c r="Q104" s="2"/>
      <c r="R104" s="31"/>
      <c r="S104" s="31"/>
      <c r="T104" s="2"/>
      <c r="U104" s="31"/>
      <c r="V104" s="31"/>
      <c r="W104" s="2"/>
      <c r="X104" s="31"/>
      <c r="Y104" s="31"/>
      <c r="Z104" s="31"/>
      <c r="AA104" s="31"/>
      <c r="AB104" s="2"/>
      <c r="AC104" s="34"/>
      <c r="AD104" s="34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48"/>
      <c r="AU104" s="48"/>
      <c r="AV104" s="48"/>
      <c r="AW104" s="48"/>
      <c r="AX104" s="48"/>
      <c r="AY104" s="48"/>
      <c r="BA104" s="2"/>
      <c r="BB104" s="2"/>
      <c r="BC104" s="2"/>
      <c r="BD104" s="2"/>
    </row>
    <row r="105" spans="1:78" x14ac:dyDescent="0.2">
      <c r="A105" s="36" t="s">
        <v>291</v>
      </c>
      <c r="B105" s="39">
        <v>2006</v>
      </c>
      <c r="C105" s="39">
        <v>14</v>
      </c>
      <c r="D105" s="39">
        <v>153.6</v>
      </c>
      <c r="E105" s="470" t="s">
        <v>225</v>
      </c>
      <c r="F105" s="471"/>
      <c r="G105" s="472"/>
      <c r="H105" s="39">
        <v>165.57</v>
      </c>
      <c r="I105" s="39">
        <v>4.2999999999999997E-2</v>
      </c>
      <c r="J105" s="40"/>
      <c r="K105" s="2"/>
      <c r="L105" s="2"/>
      <c r="M105" s="2"/>
      <c r="N105" s="2"/>
      <c r="O105" s="2"/>
      <c r="P105" s="2"/>
      <c r="Q105" s="33"/>
      <c r="R105" s="31"/>
      <c r="S105" s="31"/>
      <c r="T105" s="2"/>
      <c r="U105" s="31"/>
      <c r="V105" s="31"/>
      <c r="W105" s="2"/>
      <c r="X105" s="31"/>
      <c r="Y105" s="31"/>
      <c r="Z105" s="31"/>
      <c r="AA105" s="31"/>
      <c r="AB105" s="2"/>
      <c r="AC105" s="34"/>
      <c r="AD105" s="34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48"/>
      <c r="AU105" s="48"/>
      <c r="AV105" s="48"/>
      <c r="AW105" s="48"/>
      <c r="AX105" s="48"/>
      <c r="AY105" s="48"/>
      <c r="BA105" s="2"/>
      <c r="BB105" s="2"/>
      <c r="BC105" s="2"/>
      <c r="BD105" s="2"/>
    </row>
    <row r="106" spans="1:78" x14ac:dyDescent="0.2">
      <c r="A106" s="36" t="s">
        <v>291</v>
      </c>
      <c r="B106" s="39">
        <v>2006</v>
      </c>
      <c r="C106" s="39">
        <v>14</v>
      </c>
      <c r="D106" s="39">
        <v>153.6</v>
      </c>
      <c r="E106" s="470" t="s">
        <v>225</v>
      </c>
      <c r="F106" s="471"/>
      <c r="G106" s="472"/>
      <c r="H106" s="39">
        <v>163.69</v>
      </c>
      <c r="I106" s="39">
        <v>4.2999999999999997E-2</v>
      </c>
      <c r="J106" s="2"/>
      <c r="K106" s="2"/>
      <c r="L106" s="2"/>
      <c r="M106" s="2"/>
      <c r="N106" s="2"/>
      <c r="O106" s="2"/>
      <c r="P106" s="2"/>
      <c r="Q106" s="33"/>
      <c r="R106" s="31"/>
      <c r="S106" s="31"/>
      <c r="T106" s="2"/>
      <c r="U106" s="31"/>
      <c r="V106" s="31"/>
      <c r="W106" s="2"/>
      <c r="X106" s="31"/>
      <c r="Y106" s="31"/>
      <c r="Z106" s="31"/>
      <c r="AA106" s="31"/>
      <c r="AB106" s="2"/>
      <c r="AC106" s="34"/>
      <c r="AD106" s="34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48"/>
      <c r="AU106" s="48"/>
      <c r="AV106" s="48"/>
      <c r="AW106" s="48"/>
      <c r="AX106" s="48"/>
      <c r="AY106" s="48"/>
      <c r="BA106" s="2"/>
      <c r="BB106" s="2"/>
      <c r="BC106" s="2"/>
      <c r="BD106" s="2"/>
      <c r="BK106" s="2"/>
    </row>
    <row r="107" spans="1:78" x14ac:dyDescent="0.2">
      <c r="A107" s="30"/>
      <c r="B107" s="31"/>
      <c r="C107" s="53"/>
      <c r="D107" s="30"/>
      <c r="E107" s="53"/>
      <c r="F107" s="33"/>
      <c r="G107" s="30"/>
      <c r="H107" s="30"/>
      <c r="I107" s="30"/>
      <c r="J107" s="2"/>
      <c r="K107" s="2"/>
      <c r="L107" s="2"/>
      <c r="M107" s="2"/>
      <c r="N107" s="2"/>
      <c r="O107" s="2"/>
      <c r="P107" s="2"/>
      <c r="Q107" s="33"/>
      <c r="BK107" s="2"/>
    </row>
    <row r="108" spans="1:78" ht="15.75" x14ac:dyDescent="0.2">
      <c r="A108" s="16" t="s">
        <v>20</v>
      </c>
      <c r="B108" s="17" t="s">
        <v>62</v>
      </c>
      <c r="C108" s="17" t="s">
        <v>63</v>
      </c>
      <c r="D108" s="17">
        <f>H105</f>
        <v>165.57</v>
      </c>
      <c r="E108" s="18" t="s">
        <v>50</v>
      </c>
      <c r="F108" s="17">
        <f>ROUND((1*1000000*100/7000/H105),2)</f>
        <v>86.28</v>
      </c>
      <c r="G108" s="1" t="s">
        <v>64</v>
      </c>
      <c r="M108" s="19"/>
      <c r="Q108" s="33"/>
      <c r="BI108" s="2"/>
      <c r="BJ108" s="2"/>
      <c r="BK108" s="48"/>
    </row>
    <row r="109" spans="1:78" ht="15.75" x14ac:dyDescent="0.2">
      <c r="A109" s="16" t="s">
        <v>21</v>
      </c>
      <c r="B109" s="17" t="s">
        <v>62</v>
      </c>
      <c r="C109" s="17" t="s">
        <v>63</v>
      </c>
      <c r="D109" s="17">
        <f>H106</f>
        <v>163.69</v>
      </c>
      <c r="E109" s="18" t="s">
        <v>50</v>
      </c>
      <c r="F109" s="17">
        <f>ROUND((1*1000000*100/7000/H106),2)</f>
        <v>87.27</v>
      </c>
      <c r="G109" s="1" t="s">
        <v>64</v>
      </c>
      <c r="M109" s="19"/>
      <c r="Q109" s="33"/>
      <c r="BI109" s="2"/>
      <c r="BJ109" s="2"/>
      <c r="BK109" s="48"/>
    </row>
    <row r="110" spans="1:78" ht="16.5" x14ac:dyDescent="0.25">
      <c r="A110" s="16" t="s">
        <v>226</v>
      </c>
      <c r="C110" s="20"/>
      <c r="E110" s="18" t="s">
        <v>50</v>
      </c>
      <c r="F110" s="17">
        <f>ROUND(((F108*I105+F109*I106)/(I105+I106)),2)</f>
        <v>86.78</v>
      </c>
      <c r="G110" s="21" t="s">
        <v>64</v>
      </c>
      <c r="M110" s="22"/>
      <c r="O110" s="22"/>
      <c r="Q110" s="33"/>
      <c r="U110" s="21"/>
      <c r="AO110" s="22"/>
      <c r="AQ110" s="22"/>
      <c r="AR110" s="22"/>
      <c r="AS110" s="12"/>
      <c r="AZ110" s="2"/>
      <c r="BB110" s="48"/>
      <c r="BC110" s="48"/>
      <c r="BD110" s="48"/>
      <c r="BF110" s="2"/>
      <c r="BG110" s="2"/>
      <c r="BH110" s="2"/>
      <c r="BI110" s="48"/>
      <c r="BJ110" s="48"/>
    </row>
    <row r="111" spans="1:78" x14ac:dyDescent="0.2">
      <c r="A111" s="16"/>
      <c r="C111" s="20"/>
      <c r="E111" s="29"/>
      <c r="G111" s="21"/>
      <c r="M111" s="22"/>
      <c r="O111" s="22"/>
      <c r="Q111" s="33"/>
      <c r="U111" s="21"/>
      <c r="AO111" s="22"/>
      <c r="AQ111" s="22"/>
      <c r="AR111" s="22"/>
      <c r="AS111" s="12"/>
      <c r="AZ111" s="2"/>
      <c r="BB111" s="48"/>
      <c r="BC111" s="48"/>
      <c r="BD111" s="48"/>
      <c r="BF111" s="2"/>
      <c r="BG111" s="2"/>
      <c r="BH111" s="2"/>
      <c r="BI111" s="48"/>
      <c r="BJ111" s="48"/>
    </row>
    <row r="112" spans="1:78" ht="18.75" x14ac:dyDescent="0.35">
      <c r="A112" s="23" t="s">
        <v>65</v>
      </c>
      <c r="B112" s="17" t="s">
        <v>62</v>
      </c>
      <c r="C112" s="17" t="s">
        <v>63</v>
      </c>
      <c r="D112" s="17">
        <f>F110</f>
        <v>86.78</v>
      </c>
      <c r="E112" s="18" t="s">
        <v>50</v>
      </c>
      <c r="F112" s="24">
        <f>ROUND((1*1000000*100/7000/D112),2)</f>
        <v>164.62</v>
      </c>
      <c r="G112" s="1" t="s">
        <v>66</v>
      </c>
      <c r="M112" s="27"/>
      <c r="Q112" s="33"/>
      <c r="AZ112" s="2"/>
      <c r="BF112" s="2"/>
      <c r="BG112" s="2"/>
      <c r="BH112" s="2"/>
      <c r="BI112" s="48"/>
      <c r="BJ112" s="48"/>
    </row>
    <row r="113" spans="1:78" x14ac:dyDescent="0.2">
      <c r="A113" s="16"/>
      <c r="C113" s="468"/>
      <c r="D113" s="468"/>
      <c r="Q113" s="33"/>
      <c r="AZ113" s="2"/>
      <c r="BF113" s="48"/>
      <c r="BG113" s="48"/>
      <c r="BH113" s="48"/>
    </row>
    <row r="114" spans="1:78" ht="20.25" x14ac:dyDescent="0.35">
      <c r="A114" s="23" t="s">
        <v>67</v>
      </c>
      <c r="B114" s="1" t="s">
        <v>50</v>
      </c>
      <c r="C114" s="79" t="e">
        <f>ROUND(((#REF!+#REF!)/0.978),2)</f>
        <v>#REF!</v>
      </c>
      <c r="D114" s="25" t="s">
        <v>51</v>
      </c>
      <c r="E114" s="25">
        <f>F112</f>
        <v>164.62</v>
      </c>
      <c r="F114" s="25" t="s">
        <v>50</v>
      </c>
      <c r="G114" s="53" t="e">
        <f>ROUND((C114*E114),0)</f>
        <v>#REF!</v>
      </c>
      <c r="H114" s="34" t="s">
        <v>68</v>
      </c>
      <c r="J114" s="16"/>
      <c r="K114" s="16"/>
      <c r="L114" s="16"/>
      <c r="M114" s="16"/>
      <c r="Q114" s="33"/>
      <c r="AZ114" s="2"/>
      <c r="BF114" s="48"/>
      <c r="BG114" s="48"/>
      <c r="BH114" s="48"/>
    </row>
    <row r="115" spans="1:78" ht="15.75" x14ac:dyDescent="0.25">
      <c r="A115" s="23"/>
      <c r="C115" s="79"/>
      <c r="D115" s="25"/>
      <c r="E115" s="25"/>
      <c r="F115" s="25"/>
      <c r="G115" s="53"/>
      <c r="H115" s="34"/>
      <c r="J115" s="468"/>
      <c r="K115" s="468"/>
      <c r="L115" s="469"/>
      <c r="M115" s="469"/>
      <c r="Q115" s="31"/>
    </row>
    <row r="116" spans="1:78" ht="15.75" x14ac:dyDescent="0.25">
      <c r="A116" s="23"/>
      <c r="B116" s="17"/>
      <c r="C116" s="17"/>
      <c r="D116" s="17"/>
      <c r="E116" s="18"/>
      <c r="F116" s="24"/>
      <c r="M116" s="19"/>
    </row>
    <row r="117" spans="1:78" ht="15.75" x14ac:dyDescent="0.25">
      <c r="A117" s="335" t="s">
        <v>228</v>
      </c>
      <c r="B117" s="80"/>
      <c r="M117" s="27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BE117" s="2"/>
      <c r="BL117" s="2"/>
      <c r="BM117" s="48"/>
      <c r="BN117" s="48"/>
      <c r="BU117" s="48"/>
      <c r="BV117" s="48"/>
      <c r="BW117" s="48"/>
      <c r="BX117" s="48"/>
      <c r="BY117" s="48"/>
      <c r="BZ117" s="48"/>
    </row>
    <row r="118" spans="1:78" x14ac:dyDescent="0.2">
      <c r="M118" s="27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BE118" s="2"/>
      <c r="BL118" s="2"/>
      <c r="BM118" s="48"/>
      <c r="BN118" s="48"/>
      <c r="BU118" s="48"/>
      <c r="BV118" s="48"/>
      <c r="BW118" s="48"/>
      <c r="BX118" s="48"/>
      <c r="BY118" s="48"/>
      <c r="BZ118" s="48"/>
    </row>
    <row r="119" spans="1:78" ht="51" x14ac:dyDescent="0.2">
      <c r="A119" s="49" t="s">
        <v>58</v>
      </c>
      <c r="B119" s="50" t="s">
        <v>220</v>
      </c>
      <c r="C119" s="50" t="s">
        <v>221</v>
      </c>
      <c r="D119" s="50" t="s">
        <v>222</v>
      </c>
      <c r="E119" s="51" t="s">
        <v>59</v>
      </c>
      <c r="F119" s="51" t="s">
        <v>60</v>
      </c>
      <c r="G119" s="51" t="s">
        <v>61</v>
      </c>
      <c r="H119" s="51" t="s">
        <v>223</v>
      </c>
      <c r="I119" s="37" t="s">
        <v>224</v>
      </c>
      <c r="J119" s="2"/>
      <c r="K119" s="2"/>
      <c r="L119" s="2"/>
      <c r="M119" s="2"/>
      <c r="N119" s="2"/>
      <c r="O119" s="2"/>
      <c r="P119" s="2"/>
      <c r="Q119" s="2"/>
      <c r="R119" s="31"/>
      <c r="S119" s="31"/>
      <c r="T119" s="2"/>
      <c r="U119" s="31"/>
      <c r="V119" s="31"/>
      <c r="W119" s="2"/>
      <c r="X119" s="31"/>
      <c r="Y119" s="31"/>
      <c r="Z119" s="31"/>
      <c r="AA119" s="31"/>
      <c r="AB119" s="2"/>
      <c r="AC119" s="34"/>
      <c r="AD119" s="34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48"/>
      <c r="AU119" s="48"/>
      <c r="AV119" s="48"/>
      <c r="AW119" s="48"/>
      <c r="AX119" s="48"/>
      <c r="AY119" s="48"/>
      <c r="BA119" s="2"/>
      <c r="BB119" s="2"/>
      <c r="BC119" s="2"/>
      <c r="BD119" s="2"/>
    </row>
    <row r="120" spans="1:78" x14ac:dyDescent="0.2">
      <c r="A120" s="36" t="s">
        <v>292</v>
      </c>
      <c r="B120" s="39">
        <v>2006</v>
      </c>
      <c r="C120" s="39">
        <v>14</v>
      </c>
      <c r="D120" s="39">
        <v>153.6</v>
      </c>
      <c r="E120" s="470" t="s">
        <v>225</v>
      </c>
      <c r="F120" s="471"/>
      <c r="G120" s="472"/>
      <c r="H120" s="39">
        <v>163.94</v>
      </c>
      <c r="I120" s="39">
        <v>8.3000000000000004E-2</v>
      </c>
      <c r="J120" s="40"/>
      <c r="K120" s="2"/>
      <c r="L120" s="2"/>
      <c r="M120" s="2"/>
      <c r="N120" s="2"/>
      <c r="O120" s="2"/>
      <c r="P120" s="2"/>
      <c r="Q120" s="33"/>
      <c r="R120" s="31"/>
      <c r="S120" s="31"/>
      <c r="T120" s="2"/>
      <c r="U120" s="31"/>
      <c r="V120" s="31"/>
      <c r="W120" s="2"/>
      <c r="X120" s="31"/>
      <c r="Y120" s="31"/>
      <c r="Z120" s="31"/>
      <c r="AA120" s="31"/>
      <c r="AB120" s="2"/>
      <c r="AC120" s="34"/>
      <c r="AD120" s="34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48"/>
      <c r="AU120" s="48"/>
      <c r="AV120" s="48"/>
      <c r="AW120" s="48"/>
      <c r="AX120" s="48"/>
      <c r="AY120" s="48"/>
      <c r="BA120" s="2"/>
      <c r="BB120" s="2"/>
      <c r="BC120" s="2"/>
      <c r="BD120" s="2"/>
    </row>
    <row r="121" spans="1:78" x14ac:dyDescent="0.2">
      <c r="A121" s="36" t="s">
        <v>292</v>
      </c>
      <c r="B121" s="39">
        <v>2006</v>
      </c>
      <c r="C121" s="39">
        <v>14</v>
      </c>
      <c r="D121" s="39">
        <v>153.6</v>
      </c>
      <c r="E121" s="470" t="s">
        <v>225</v>
      </c>
      <c r="F121" s="471"/>
      <c r="G121" s="472"/>
      <c r="H121" s="39">
        <v>159.16</v>
      </c>
      <c r="I121" s="39">
        <v>8.3000000000000004E-2</v>
      </c>
      <c r="J121" s="2"/>
      <c r="K121" s="2"/>
      <c r="L121" s="2"/>
      <c r="M121" s="2"/>
      <c r="N121" s="2"/>
      <c r="O121" s="2"/>
      <c r="P121" s="2"/>
      <c r="Q121" s="33"/>
      <c r="R121" s="31"/>
      <c r="S121" s="31"/>
      <c r="T121" s="2"/>
      <c r="U121" s="31"/>
      <c r="V121" s="31"/>
      <c r="W121" s="2"/>
      <c r="X121" s="31"/>
      <c r="Y121" s="31"/>
      <c r="Z121" s="31"/>
      <c r="AA121" s="31"/>
      <c r="AB121" s="2"/>
      <c r="AC121" s="34"/>
      <c r="AD121" s="34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48"/>
      <c r="AU121" s="48"/>
      <c r="AV121" s="48"/>
      <c r="AW121" s="48"/>
      <c r="AX121" s="48"/>
      <c r="AY121" s="48"/>
      <c r="BA121" s="2"/>
      <c r="BB121" s="2"/>
      <c r="BC121" s="2"/>
      <c r="BD121" s="2"/>
      <c r="BK121" s="2"/>
    </row>
    <row r="122" spans="1:78" x14ac:dyDescent="0.2">
      <c r="A122" s="30"/>
      <c r="B122" s="31"/>
      <c r="C122" s="53"/>
      <c r="D122" s="30"/>
      <c r="E122" s="53"/>
      <c r="F122" s="33"/>
      <c r="G122" s="30"/>
      <c r="H122" s="30"/>
      <c r="I122" s="30"/>
      <c r="J122" s="2"/>
      <c r="K122" s="2"/>
      <c r="L122" s="2"/>
      <c r="M122" s="2"/>
      <c r="N122" s="2"/>
      <c r="O122" s="2"/>
      <c r="P122" s="2"/>
      <c r="Q122" s="33"/>
      <c r="BK122" s="2"/>
    </row>
    <row r="123" spans="1:78" ht="15.75" x14ac:dyDescent="0.2">
      <c r="A123" s="16" t="s">
        <v>20</v>
      </c>
      <c r="B123" s="17" t="s">
        <v>62</v>
      </c>
      <c r="C123" s="17" t="s">
        <v>63</v>
      </c>
      <c r="D123" s="17">
        <f>H120</f>
        <v>163.94</v>
      </c>
      <c r="E123" s="18" t="s">
        <v>50</v>
      </c>
      <c r="F123" s="17">
        <f>ROUND((1*1000000*100/7000/H120),2)</f>
        <v>87.14</v>
      </c>
      <c r="G123" s="1" t="s">
        <v>64</v>
      </c>
      <c r="M123" s="19"/>
      <c r="Q123" s="33"/>
      <c r="BI123" s="2"/>
      <c r="BJ123" s="2"/>
      <c r="BK123" s="48"/>
    </row>
    <row r="124" spans="1:78" ht="15.75" x14ac:dyDescent="0.2">
      <c r="A124" s="16" t="s">
        <v>21</v>
      </c>
      <c r="B124" s="17" t="s">
        <v>62</v>
      </c>
      <c r="C124" s="17" t="s">
        <v>63</v>
      </c>
      <c r="D124" s="17">
        <f>H121</f>
        <v>159.16</v>
      </c>
      <c r="E124" s="18" t="s">
        <v>50</v>
      </c>
      <c r="F124" s="17">
        <f>ROUND((1*1000000*100/7000/H121),2)</f>
        <v>89.76</v>
      </c>
      <c r="G124" s="1" t="s">
        <v>64</v>
      </c>
      <c r="M124" s="19"/>
      <c r="Q124" s="33"/>
      <c r="BI124" s="2"/>
      <c r="BJ124" s="2"/>
      <c r="BK124" s="48"/>
    </row>
    <row r="125" spans="1:78" ht="16.5" x14ac:dyDescent="0.25">
      <c r="A125" s="16" t="s">
        <v>226</v>
      </c>
      <c r="C125" s="20"/>
      <c r="E125" s="18" t="s">
        <v>50</v>
      </c>
      <c r="F125" s="17">
        <f>ROUND(((F123*I120+F124*I121)/(I120+I121)),2)</f>
        <v>88.45</v>
      </c>
      <c r="G125" s="21" t="s">
        <v>64</v>
      </c>
      <c r="M125" s="22"/>
      <c r="O125" s="22"/>
      <c r="Q125" s="33"/>
      <c r="U125" s="21"/>
      <c r="AO125" s="22"/>
      <c r="AQ125" s="22"/>
      <c r="AR125" s="22"/>
      <c r="AS125" s="12"/>
      <c r="AZ125" s="2"/>
      <c r="BB125" s="48"/>
      <c r="BC125" s="48"/>
      <c r="BD125" s="48"/>
      <c r="BF125" s="2"/>
      <c r="BG125" s="2"/>
      <c r="BH125" s="2"/>
      <c r="BI125" s="48"/>
      <c r="BJ125" s="48"/>
    </row>
    <row r="126" spans="1:78" x14ac:dyDescent="0.2">
      <c r="A126" s="16"/>
      <c r="C126" s="20"/>
      <c r="E126" s="29"/>
      <c r="G126" s="21"/>
      <c r="M126" s="22"/>
      <c r="O126" s="22"/>
      <c r="Q126" s="33"/>
      <c r="U126" s="21"/>
      <c r="AO126" s="22"/>
      <c r="AQ126" s="22"/>
      <c r="AR126" s="22"/>
      <c r="AS126" s="12"/>
      <c r="AZ126" s="2"/>
      <c r="BB126" s="48"/>
      <c r="BC126" s="48"/>
      <c r="BD126" s="48"/>
      <c r="BF126" s="2"/>
      <c r="BG126" s="2"/>
      <c r="BH126" s="2"/>
      <c r="BI126" s="48"/>
      <c r="BJ126" s="48"/>
    </row>
    <row r="127" spans="1:78" ht="18.75" x14ac:dyDescent="0.35">
      <c r="A127" s="23" t="s">
        <v>65</v>
      </c>
      <c r="B127" s="17" t="s">
        <v>62</v>
      </c>
      <c r="C127" s="17" t="s">
        <v>63</v>
      </c>
      <c r="D127" s="17">
        <f>F125</f>
        <v>88.45</v>
      </c>
      <c r="E127" s="18" t="s">
        <v>50</v>
      </c>
      <c r="F127" s="24">
        <f>ROUND((1*1000000*100/7000/D127),2)</f>
        <v>161.51</v>
      </c>
      <c r="G127" s="1" t="s">
        <v>66</v>
      </c>
      <c r="M127" s="27"/>
      <c r="Q127" s="33"/>
      <c r="AZ127" s="2"/>
      <c r="BF127" s="2"/>
      <c r="BG127" s="2"/>
      <c r="BH127" s="2"/>
      <c r="BI127" s="48"/>
      <c r="BJ127" s="48"/>
    </row>
    <row r="128" spans="1:78" x14ac:dyDescent="0.2">
      <c r="A128" s="16"/>
      <c r="C128" s="468"/>
      <c r="D128" s="468"/>
      <c r="Q128" s="33"/>
      <c r="AZ128" s="2"/>
      <c r="BF128" s="48"/>
      <c r="BG128" s="48"/>
      <c r="BH128" s="48"/>
    </row>
    <row r="129" spans="1:60" ht="20.25" x14ac:dyDescent="0.35">
      <c r="A129" s="23" t="s">
        <v>67</v>
      </c>
      <c r="B129" s="1" t="s">
        <v>50</v>
      </c>
      <c r="C129" s="79" t="e">
        <f>ROUND(((#REF!+#REF!)/0.978),2)</f>
        <v>#REF!</v>
      </c>
      <c r="D129" s="25" t="s">
        <v>51</v>
      </c>
      <c r="E129" s="25">
        <f>F127</f>
        <v>161.51</v>
      </c>
      <c r="F129" s="25" t="s">
        <v>50</v>
      </c>
      <c r="G129" s="53" t="e">
        <f>ROUND((C129*E129),0)</f>
        <v>#REF!</v>
      </c>
      <c r="H129" s="34" t="s">
        <v>68</v>
      </c>
      <c r="J129" s="16"/>
      <c r="K129" s="16"/>
      <c r="L129" s="16"/>
      <c r="M129" s="16"/>
      <c r="Q129" s="33"/>
      <c r="AZ129" s="2"/>
      <c r="BF129" s="48"/>
      <c r="BG129" s="48"/>
      <c r="BH129" s="48"/>
    </row>
  </sheetData>
  <mergeCells count="56">
    <mergeCell ref="W67:Y67"/>
    <mergeCell ref="AC40:AD40"/>
    <mergeCell ref="E69:G69"/>
    <mergeCell ref="U69:V69"/>
    <mergeCell ref="X69:AA69"/>
    <mergeCell ref="AC69:AD69"/>
    <mergeCell ref="T67:U67"/>
    <mergeCell ref="C63:D63"/>
    <mergeCell ref="W38:Y38"/>
    <mergeCell ref="T33:U33"/>
    <mergeCell ref="W33:Z33"/>
    <mergeCell ref="T49:U49"/>
    <mergeCell ref="W49:Y49"/>
    <mergeCell ref="U40:V40"/>
    <mergeCell ref="X40:AA40"/>
    <mergeCell ref="T38:U38"/>
    <mergeCell ref="J100:K100"/>
    <mergeCell ref="L100:M100"/>
    <mergeCell ref="E41:G41"/>
    <mergeCell ref="E42:G42"/>
    <mergeCell ref="J50:K50"/>
    <mergeCell ref="L50:M50"/>
    <mergeCell ref="E55:G55"/>
    <mergeCell ref="E56:G56"/>
    <mergeCell ref="J81:K81"/>
    <mergeCell ref="L81:M81"/>
    <mergeCell ref="E70:G70"/>
    <mergeCell ref="AB33:AC33"/>
    <mergeCell ref="AD21:AE21"/>
    <mergeCell ref="R19:S19"/>
    <mergeCell ref="U19:V19"/>
    <mergeCell ref="X19:Z19"/>
    <mergeCell ref="R21:T21"/>
    <mergeCell ref="V21:W21"/>
    <mergeCell ref="Y21:AB21"/>
    <mergeCell ref="C113:D113"/>
    <mergeCell ref="E71:G71"/>
    <mergeCell ref="C1:I1"/>
    <mergeCell ref="A2:I16"/>
    <mergeCell ref="C49:D49"/>
    <mergeCell ref="E25:G25"/>
    <mergeCell ref="E22:G22"/>
    <mergeCell ref="E23:G23"/>
    <mergeCell ref="E24:G24"/>
    <mergeCell ref="E21:G21"/>
    <mergeCell ref="E90:G90"/>
    <mergeCell ref="E91:G91"/>
    <mergeCell ref="C98:D98"/>
    <mergeCell ref="E105:G105"/>
    <mergeCell ref="E106:G106"/>
    <mergeCell ref="C80:D80"/>
    <mergeCell ref="J115:K115"/>
    <mergeCell ref="L115:M115"/>
    <mergeCell ref="E120:G120"/>
    <mergeCell ref="E121:G121"/>
    <mergeCell ref="C128:D128"/>
  </mergeCells>
  <phoneticPr fontId="2" type="noConversion"/>
  <pageMargins left="0.7" right="0.7" top="0.75" bottom="0.75" header="0.3" footer="0.3"/>
  <pageSetup paperSize="9" scale="86" fitToWidth="0" fitToHeight="0" orientation="portrait" verticalDpi="300" r:id="rId1"/>
  <rowBreaks count="2" manualBreakCount="2">
    <brk id="50" max="8" man="1"/>
    <brk id="100" max="8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  <pageSetUpPr fitToPage="1"/>
  </sheetPr>
  <dimension ref="A1:O64"/>
  <sheetViews>
    <sheetView topLeftCell="A13" workbookViewId="0">
      <selection activeCell="K22" sqref="K22"/>
    </sheetView>
  </sheetViews>
  <sheetFormatPr defaultColWidth="9.140625" defaultRowHeight="15.75" x14ac:dyDescent="0.25"/>
  <cols>
    <col min="1" max="1" width="4.140625" style="4" customWidth="1"/>
    <col min="2" max="2" width="16.85546875" style="4" customWidth="1"/>
    <col min="3" max="3" width="14.140625" style="4" customWidth="1"/>
    <col min="4" max="4" width="8" style="4" customWidth="1"/>
    <col min="5" max="5" width="7.85546875" style="4" customWidth="1"/>
    <col min="6" max="6" width="8.5703125" style="4" customWidth="1"/>
    <col min="7" max="7" width="10.7109375" style="4" customWidth="1"/>
    <col min="8" max="8" width="9" style="4" customWidth="1"/>
    <col min="9" max="9" width="13" style="4" customWidth="1"/>
    <col min="10" max="10" width="10.140625" style="4" customWidth="1"/>
    <col min="11" max="11" width="11.7109375" style="4" customWidth="1"/>
    <col min="12" max="12" width="13.5703125" style="4" customWidth="1"/>
    <col min="13" max="13" width="11.28515625" style="4" customWidth="1"/>
    <col min="14" max="14" width="13.42578125" style="4" customWidth="1"/>
    <col min="15" max="15" width="9.85546875" style="4" customWidth="1"/>
    <col min="16" max="16384" width="9.140625" style="4"/>
  </cols>
  <sheetData>
    <row r="1" spans="1:15" ht="36" customHeight="1" x14ac:dyDescent="0.25">
      <c r="A1" s="483" t="s">
        <v>277</v>
      </c>
      <c r="B1" s="483"/>
      <c r="C1" s="483"/>
      <c r="D1" s="483"/>
      <c r="E1" s="483"/>
      <c r="F1" s="483"/>
      <c r="G1" s="483"/>
      <c r="H1" s="483"/>
      <c r="I1" s="483"/>
      <c r="J1" s="483"/>
      <c r="K1" s="483"/>
      <c r="L1" s="484"/>
      <c r="M1" s="484"/>
      <c r="N1" s="484"/>
    </row>
    <row r="2" spans="1:15" ht="126" x14ac:dyDescent="0.25">
      <c r="A2" s="403" t="s">
        <v>186</v>
      </c>
      <c r="B2" s="355" t="s">
        <v>187</v>
      </c>
      <c r="C2" s="403" t="s">
        <v>188</v>
      </c>
      <c r="D2" s="403" t="s">
        <v>278</v>
      </c>
      <c r="E2" s="403" t="s">
        <v>189</v>
      </c>
      <c r="F2" s="403" t="s">
        <v>190</v>
      </c>
      <c r="G2" s="403" t="s">
        <v>191</v>
      </c>
      <c r="H2" s="403" t="s">
        <v>192</v>
      </c>
      <c r="I2" s="403" t="s">
        <v>193</v>
      </c>
      <c r="J2" s="376" t="s">
        <v>194</v>
      </c>
      <c r="K2" s="376" t="s">
        <v>195</v>
      </c>
      <c r="L2" s="403" t="s">
        <v>196</v>
      </c>
      <c r="M2" s="376" t="s">
        <v>197</v>
      </c>
      <c r="N2" s="403" t="s">
        <v>198</v>
      </c>
      <c r="O2" s="403" t="s">
        <v>37</v>
      </c>
    </row>
    <row r="3" spans="1:15" x14ac:dyDescent="0.25">
      <c r="A3" s="403">
        <v>1</v>
      </c>
      <c r="B3" s="355">
        <v>2</v>
      </c>
      <c r="C3" s="403">
        <v>4</v>
      </c>
      <c r="D3" s="403">
        <v>5</v>
      </c>
      <c r="E3" s="403">
        <v>6</v>
      </c>
      <c r="F3" s="403">
        <v>7</v>
      </c>
      <c r="G3" s="403">
        <v>8</v>
      </c>
      <c r="H3" s="403">
        <v>9</v>
      </c>
      <c r="I3" s="403">
        <v>10</v>
      </c>
      <c r="J3" s="376">
        <v>11</v>
      </c>
      <c r="K3" s="377">
        <v>12</v>
      </c>
      <c r="L3" s="355">
        <v>13</v>
      </c>
      <c r="M3" s="355">
        <v>14</v>
      </c>
      <c r="N3" s="355">
        <v>15</v>
      </c>
      <c r="O3" s="173">
        <v>16</v>
      </c>
    </row>
    <row r="4" spans="1:15" ht="18" customHeight="1" x14ac:dyDescent="0.25">
      <c r="A4" s="485">
        <v>1</v>
      </c>
      <c r="B4" s="485" t="s">
        <v>12</v>
      </c>
      <c r="C4" s="355" t="s">
        <v>199</v>
      </c>
      <c r="D4" s="355">
        <v>1992</v>
      </c>
      <c r="E4" s="355">
        <v>28</v>
      </c>
      <c r="F4" s="355">
        <f>'расчет УРТ и КПД'!I21</f>
        <v>0.72</v>
      </c>
      <c r="G4" s="404">
        <f>'расчет УРТ и КПД'!H21</f>
        <v>171.68</v>
      </c>
      <c r="H4" s="381">
        <f>'расчет УРТ и КПД'!F27</f>
        <v>83.21</v>
      </c>
      <c r="I4" s="404"/>
      <c r="J4" s="404"/>
      <c r="K4" s="173"/>
      <c r="L4" s="405"/>
      <c r="M4" s="382"/>
      <c r="N4" s="406"/>
      <c r="O4" s="173"/>
    </row>
    <row r="5" spans="1:15" ht="18" customHeight="1" x14ac:dyDescent="0.25">
      <c r="A5" s="485"/>
      <c r="B5" s="485"/>
      <c r="C5" s="355" t="s">
        <v>199</v>
      </c>
      <c r="D5" s="355">
        <v>1999</v>
      </c>
      <c r="E5" s="355">
        <v>21</v>
      </c>
      <c r="F5" s="355">
        <f>'расчет УРТ и КПД'!I22</f>
        <v>0.72</v>
      </c>
      <c r="G5" s="404">
        <f>'расчет УРТ и КПД'!H22</f>
        <v>166.61</v>
      </c>
      <c r="H5" s="381">
        <f>'расчет УРТ и КПД'!F28</f>
        <v>85.74</v>
      </c>
      <c r="I5" s="404"/>
      <c r="J5" s="404"/>
      <c r="K5" s="173"/>
      <c r="L5" s="405"/>
      <c r="M5" s="382"/>
      <c r="N5" s="406"/>
      <c r="O5" s="173"/>
    </row>
    <row r="6" spans="1:15" ht="18" customHeight="1" x14ac:dyDescent="0.25">
      <c r="A6" s="485"/>
      <c r="B6" s="485"/>
      <c r="C6" s="355" t="s">
        <v>199</v>
      </c>
      <c r="D6" s="355">
        <v>1992</v>
      </c>
      <c r="E6" s="355">
        <v>28</v>
      </c>
      <c r="F6" s="355">
        <f>'расчет УРТ и КПД'!I23</f>
        <v>0.7</v>
      </c>
      <c r="G6" s="404">
        <f>'расчет УРТ и КПД'!H23</f>
        <v>172.82</v>
      </c>
      <c r="H6" s="381">
        <f>'расчет УРТ и КПД'!F29</f>
        <v>82.66</v>
      </c>
      <c r="I6" s="404"/>
      <c r="J6" s="404"/>
      <c r="K6" s="173"/>
      <c r="L6" s="405"/>
      <c r="M6" s="382"/>
      <c r="N6" s="406"/>
      <c r="O6" s="173"/>
    </row>
    <row r="7" spans="1:15" ht="18" customHeight="1" x14ac:dyDescent="0.25">
      <c r="A7" s="485"/>
      <c r="B7" s="485"/>
      <c r="C7" s="355" t="s">
        <v>199</v>
      </c>
      <c r="D7" s="355">
        <v>1996</v>
      </c>
      <c r="E7" s="355">
        <v>24</v>
      </c>
      <c r="F7" s="355">
        <f>'расчет УРТ и КПД'!I24</f>
        <v>0.7</v>
      </c>
      <c r="G7" s="404">
        <f>'расчет УРТ и КПД'!H24</f>
        <v>167.66</v>
      </c>
      <c r="H7" s="381">
        <f>'расчет УРТ и КПД'!F30</f>
        <v>85.21</v>
      </c>
      <c r="I7" s="404"/>
      <c r="J7" s="404"/>
      <c r="K7" s="173"/>
      <c r="L7" s="405"/>
      <c r="M7" s="382"/>
      <c r="N7" s="406"/>
      <c r="O7" s="173"/>
    </row>
    <row r="8" spans="1:15" ht="18" customHeight="1" x14ac:dyDescent="0.25">
      <c r="A8" s="485"/>
      <c r="B8" s="485"/>
      <c r="C8" s="355" t="s">
        <v>199</v>
      </c>
      <c r="D8" s="355">
        <v>1999</v>
      </c>
      <c r="E8" s="355">
        <v>21</v>
      </c>
      <c r="F8" s="355">
        <f>'расчет УРТ и КПД'!I25</f>
        <v>0.7</v>
      </c>
      <c r="G8" s="404">
        <f>'расчет УРТ и КПД'!H25</f>
        <v>167.12</v>
      </c>
      <c r="H8" s="381">
        <f>'расчет УРТ и КПД'!F31</f>
        <v>85.48</v>
      </c>
      <c r="I8" s="404"/>
      <c r="J8" s="404"/>
      <c r="K8" s="173"/>
      <c r="L8" s="405"/>
      <c r="M8" s="382"/>
      <c r="N8" s="406"/>
      <c r="O8" s="173"/>
    </row>
    <row r="9" spans="1:15" s="394" customFormat="1" ht="18" customHeight="1" x14ac:dyDescent="0.25">
      <c r="A9" s="485"/>
      <c r="B9" s="386" t="s">
        <v>179</v>
      </c>
      <c r="C9" s="407"/>
      <c r="D9" s="407"/>
      <c r="E9" s="407"/>
      <c r="F9" s="386">
        <f>F4+F5+F6+F7+F8</f>
        <v>3.54</v>
      </c>
      <c r="G9" s="408">
        <f>'расчет УРТ и КПД'!F34</f>
        <v>169.14</v>
      </c>
      <c r="H9" s="409"/>
      <c r="I9" s="410">
        <f>'расчет УРТ и КПД'!F32</f>
        <v>84.46</v>
      </c>
      <c r="J9" s="410" t="e">
        <f>L9/K9</f>
        <v>#REF!</v>
      </c>
      <c r="K9" s="410" t="e">
        <f>#REF!+#REF!</f>
        <v>#REF!</v>
      </c>
      <c r="L9" s="387" t="e">
        <f>N9</f>
        <v>#REF!</v>
      </c>
      <c r="M9" s="410" t="e">
        <f>ROUND((K9/0.978),2)</f>
        <v>#REF!</v>
      </c>
      <c r="N9" s="387" t="e">
        <f>ROUND((G9*M9),0)</f>
        <v>#REF!</v>
      </c>
      <c r="O9" s="419" t="e">
        <f>#REF!</f>
        <v>#REF!</v>
      </c>
    </row>
    <row r="10" spans="1:15" ht="18" customHeight="1" x14ac:dyDescent="0.25">
      <c r="A10" s="485">
        <v>2</v>
      </c>
      <c r="B10" s="485" t="s">
        <v>18</v>
      </c>
      <c r="C10" s="355" t="s">
        <v>200</v>
      </c>
      <c r="D10" s="355">
        <v>1995</v>
      </c>
      <c r="E10" s="355">
        <v>2</v>
      </c>
      <c r="F10" s="355">
        <f>'расчет УРТ и КПД'!I41</f>
        <v>8.3000000000000007</v>
      </c>
      <c r="G10" s="404">
        <f>'расчет УРТ и КПД'!H41</f>
        <v>159.15</v>
      </c>
      <c r="H10" s="381">
        <f>'расчет УРТ и КПД'!F44</f>
        <v>89.76</v>
      </c>
      <c r="I10" s="404"/>
      <c r="J10" s="404"/>
      <c r="K10" s="355"/>
      <c r="L10" s="405"/>
      <c r="M10" s="382"/>
      <c r="N10" s="406"/>
      <c r="O10" s="173"/>
    </row>
    <row r="11" spans="1:15" ht="18" customHeight="1" x14ac:dyDescent="0.25">
      <c r="A11" s="485"/>
      <c r="B11" s="485"/>
      <c r="C11" s="355" t="s">
        <v>200</v>
      </c>
      <c r="D11" s="355">
        <v>1995</v>
      </c>
      <c r="E11" s="355">
        <v>25</v>
      </c>
      <c r="F11" s="355">
        <f>'расчет УРТ и КПД'!I42</f>
        <v>8.3000000000000007</v>
      </c>
      <c r="G11" s="404">
        <f>'расчет УРТ и КПД'!H42</f>
        <v>158.6</v>
      </c>
      <c r="H11" s="381">
        <f>'расчет УРТ и КПД'!F45</f>
        <v>90.07</v>
      </c>
      <c r="I11" s="404"/>
      <c r="J11" s="404"/>
      <c r="K11" s="355"/>
      <c r="L11" s="405"/>
      <c r="M11" s="382"/>
      <c r="N11" s="406"/>
      <c r="O11" s="173"/>
    </row>
    <row r="12" spans="1:15" s="394" customFormat="1" ht="18" customHeight="1" x14ac:dyDescent="0.25">
      <c r="A12" s="485"/>
      <c r="B12" s="386" t="s">
        <v>179</v>
      </c>
      <c r="C12" s="407"/>
      <c r="D12" s="407"/>
      <c r="E12" s="407"/>
      <c r="F12" s="386">
        <f>F10+F11</f>
        <v>16.600000000000001</v>
      </c>
      <c r="G12" s="408">
        <f>'расчет УРТ и КПД'!F48</f>
        <v>158.87</v>
      </c>
      <c r="H12" s="410"/>
      <c r="I12" s="410">
        <f>'расчет УРТ и КПД'!F46</f>
        <v>89.92</v>
      </c>
      <c r="J12" s="410" t="e">
        <f>L12/K12</f>
        <v>#REF!</v>
      </c>
      <c r="K12" s="410" t="e">
        <f>#REF!+#REF!</f>
        <v>#REF!</v>
      </c>
      <c r="L12" s="387" t="e">
        <f>N12</f>
        <v>#REF!</v>
      </c>
      <c r="M12" s="410" t="e">
        <f>ROUND((K12/0.978),2)</f>
        <v>#REF!</v>
      </c>
      <c r="N12" s="387" t="e">
        <f>ROUND((G12*M12),0)</f>
        <v>#REF!</v>
      </c>
      <c r="O12" s="419" t="e">
        <f>#REF!</f>
        <v>#REF!</v>
      </c>
    </row>
    <row r="13" spans="1:15" ht="18" customHeight="1" x14ac:dyDescent="0.25">
      <c r="A13" s="480">
        <v>3</v>
      </c>
      <c r="B13" s="486" t="s">
        <v>262</v>
      </c>
      <c r="C13" s="383" t="s">
        <v>206</v>
      </c>
      <c r="D13" s="422">
        <v>2006</v>
      </c>
      <c r="E13" s="422">
        <v>14</v>
      </c>
      <c r="F13" s="383">
        <f>'расчет УРТ и КПД'!I105</f>
        <v>4.2999999999999997E-2</v>
      </c>
      <c r="G13" s="412">
        <f>'расчет УРТ и КПД'!H105</f>
        <v>165.57</v>
      </c>
      <c r="H13" s="381">
        <f>'расчет УРТ и КПД'!F108</f>
        <v>86.28</v>
      </c>
      <c r="I13" s="384"/>
      <c r="J13" s="385"/>
      <c r="K13" s="386"/>
      <c r="L13" s="387"/>
      <c r="M13" s="385"/>
      <c r="N13" s="413"/>
      <c r="O13" s="173"/>
    </row>
    <row r="14" spans="1:15" ht="18" customHeight="1" x14ac:dyDescent="0.25">
      <c r="A14" s="481"/>
      <c r="B14" s="485"/>
      <c r="C14" s="383" t="s">
        <v>206</v>
      </c>
      <c r="D14" s="422">
        <v>2006</v>
      </c>
      <c r="E14" s="422">
        <v>14</v>
      </c>
      <c r="F14" s="383">
        <f>'расчет УРТ и КПД'!I106</f>
        <v>4.2999999999999997E-2</v>
      </c>
      <c r="G14" s="412">
        <f>'расчет УРТ и КПД'!H106</f>
        <v>163.69</v>
      </c>
      <c r="H14" s="381">
        <f>'расчет УРТ и КПД'!F109</f>
        <v>87.27</v>
      </c>
      <c r="I14" s="384"/>
      <c r="J14" s="385"/>
      <c r="K14" s="386"/>
      <c r="L14" s="387"/>
      <c r="M14" s="385"/>
      <c r="N14" s="413"/>
      <c r="O14" s="173"/>
    </row>
    <row r="15" spans="1:15" s="394" customFormat="1" ht="18" customHeight="1" x14ac:dyDescent="0.25">
      <c r="A15" s="482"/>
      <c r="B15" s="386" t="s">
        <v>179</v>
      </c>
      <c r="C15" s="407"/>
      <c r="D15" s="407"/>
      <c r="E15" s="407"/>
      <c r="F15" s="386">
        <f>F13+F14</f>
        <v>8.5999999999999993E-2</v>
      </c>
      <c r="G15" s="408">
        <f>'расчет УРТ и КПД'!F112</f>
        <v>164.62</v>
      </c>
      <c r="H15" s="410"/>
      <c r="I15" s="410">
        <f>'расчет УРТ и КПД'!F110</f>
        <v>86.78</v>
      </c>
      <c r="J15" s="410" t="e">
        <f>L15/K15</f>
        <v>#REF!</v>
      </c>
      <c r="K15" s="410" t="e">
        <f>#REF!+#REF!</f>
        <v>#REF!</v>
      </c>
      <c r="L15" s="387" t="e">
        <f>N15</f>
        <v>#REF!</v>
      </c>
      <c r="M15" s="410" t="e">
        <f>ROUND((K15/0.978),2)</f>
        <v>#REF!</v>
      </c>
      <c r="N15" s="387" t="e">
        <f>ROUND((G15*M15),0)</f>
        <v>#REF!</v>
      </c>
      <c r="O15" s="419" t="e">
        <f>#REF!</f>
        <v>#REF!</v>
      </c>
    </row>
    <row r="16" spans="1:15" ht="18" customHeight="1" x14ac:dyDescent="0.25">
      <c r="A16" s="480">
        <v>4</v>
      </c>
      <c r="B16" s="485" t="s">
        <v>201</v>
      </c>
      <c r="C16" s="5" t="s">
        <v>275</v>
      </c>
      <c r="D16" s="388">
        <v>1999</v>
      </c>
      <c r="E16" s="388">
        <v>21</v>
      </c>
      <c r="F16" s="389">
        <f>'расчет УРТ и КПД'!I55</f>
        <v>3</v>
      </c>
      <c r="G16" s="404">
        <f>'расчет УРТ и КПД'!H55</f>
        <v>164.18</v>
      </c>
      <c r="H16" s="381">
        <f>'расчет УРТ и КПД'!F58</f>
        <v>87.01</v>
      </c>
      <c r="I16" s="404"/>
      <c r="J16" s="404"/>
      <c r="K16" s="173"/>
      <c r="L16" s="405"/>
      <c r="M16" s="382"/>
      <c r="N16" s="406"/>
      <c r="O16" s="173"/>
    </row>
    <row r="17" spans="1:15" ht="18" customHeight="1" x14ac:dyDescent="0.25">
      <c r="A17" s="481"/>
      <c r="B17" s="485"/>
      <c r="C17" s="5" t="s">
        <v>73</v>
      </c>
      <c r="D17" s="388">
        <v>2002</v>
      </c>
      <c r="E17" s="388">
        <v>18</v>
      </c>
      <c r="F17" s="389">
        <f>'расчет УРТ и КПД'!I56</f>
        <v>3</v>
      </c>
      <c r="G17" s="404">
        <f>'расчет УРТ и КПД'!H56</f>
        <v>164.57</v>
      </c>
      <c r="H17" s="381">
        <f>'расчет УРТ и КПД'!F59</f>
        <v>86.81</v>
      </c>
      <c r="I17" s="404"/>
      <c r="J17" s="404"/>
      <c r="K17" s="173"/>
      <c r="L17" s="405"/>
      <c r="M17" s="382"/>
      <c r="N17" s="406"/>
      <c r="O17" s="173"/>
    </row>
    <row r="18" spans="1:15" s="394" customFormat="1" ht="18" customHeight="1" x14ac:dyDescent="0.25">
      <c r="A18" s="482"/>
      <c r="B18" s="386" t="s">
        <v>179</v>
      </c>
      <c r="C18" s="407"/>
      <c r="D18" s="407"/>
      <c r="E18" s="407"/>
      <c r="F18" s="414">
        <f>F16+F17</f>
        <v>6</v>
      </c>
      <c r="G18" s="408">
        <f>ROUND((1000/7/I18*100),2)</f>
        <v>164.37</v>
      </c>
      <c r="H18" s="409"/>
      <c r="I18" s="410">
        <f>'расчет УРТ и КПД'!F60</f>
        <v>86.91</v>
      </c>
      <c r="J18" s="410" t="e">
        <f>L18/K18</f>
        <v>#REF!</v>
      </c>
      <c r="K18" s="410" t="e">
        <f>#REF!+#REF!</f>
        <v>#REF!</v>
      </c>
      <c r="L18" s="387" t="e">
        <f>N18</f>
        <v>#REF!</v>
      </c>
      <c r="M18" s="410" t="e">
        <f>ROUND((K18/0.978),2)</f>
        <v>#REF!</v>
      </c>
      <c r="N18" s="387" t="e">
        <f>ROUND((G18*M18),0)</f>
        <v>#REF!</v>
      </c>
      <c r="O18" s="419" t="e">
        <f>#REF!</f>
        <v>#REF!</v>
      </c>
    </row>
    <row r="19" spans="1:15" ht="18" customHeight="1" x14ac:dyDescent="0.25">
      <c r="A19" s="485">
        <v>5</v>
      </c>
      <c r="B19" s="355" t="s">
        <v>181</v>
      </c>
      <c r="C19" s="5" t="s">
        <v>73</v>
      </c>
      <c r="D19" s="355">
        <v>2005</v>
      </c>
      <c r="E19" s="355">
        <v>15</v>
      </c>
      <c r="F19" s="415">
        <f>'расчет УРТ и КПД'!I69</f>
        <v>3</v>
      </c>
      <c r="G19" s="404">
        <f>'расчет УРТ и КПД'!H69</f>
        <v>160.26</v>
      </c>
      <c r="H19" s="381">
        <f>'расчет УРТ и КПД'!F74</f>
        <v>89.14</v>
      </c>
      <c r="I19" s="404"/>
      <c r="J19" s="404"/>
      <c r="K19" s="355"/>
      <c r="L19" s="405"/>
      <c r="M19" s="382"/>
      <c r="N19" s="406"/>
      <c r="O19" s="173"/>
    </row>
    <row r="20" spans="1:15" ht="18" customHeight="1" x14ac:dyDescent="0.25">
      <c r="A20" s="485"/>
      <c r="B20" s="355"/>
      <c r="C20" s="5" t="s">
        <v>276</v>
      </c>
      <c r="D20" s="355">
        <v>2002</v>
      </c>
      <c r="E20" s="355">
        <v>18</v>
      </c>
      <c r="F20" s="415">
        <f>'расчет УРТ и КПД'!I70</f>
        <v>0.86</v>
      </c>
      <c r="G20" s="404">
        <f>'расчет УРТ и КПД'!H70</f>
        <v>159.15</v>
      </c>
      <c r="H20" s="381">
        <f>'расчет УРТ и КПД'!F75</f>
        <v>89.76</v>
      </c>
      <c r="I20" s="404"/>
      <c r="J20" s="404"/>
      <c r="K20" s="355"/>
      <c r="L20" s="405"/>
      <c r="M20" s="382"/>
      <c r="N20" s="406"/>
      <c r="O20" s="173"/>
    </row>
    <row r="21" spans="1:15" ht="18" customHeight="1" x14ac:dyDescent="0.25">
      <c r="A21" s="485"/>
      <c r="B21" s="355"/>
      <c r="C21" s="5" t="s">
        <v>276</v>
      </c>
      <c r="D21" s="355">
        <v>2002</v>
      </c>
      <c r="E21" s="355">
        <v>18</v>
      </c>
      <c r="F21" s="415">
        <f>'расчет УРТ и КПД'!I71</f>
        <v>0.86</v>
      </c>
      <c r="G21" s="404">
        <f>'расчет УРТ и КПД'!H71</f>
        <v>164.27</v>
      </c>
      <c r="H21" s="381">
        <f>'расчет УРТ и КПД'!F76</f>
        <v>86.96</v>
      </c>
      <c r="I21" s="404"/>
      <c r="J21" s="404"/>
      <c r="K21" s="355"/>
      <c r="L21" s="405"/>
      <c r="M21" s="382"/>
      <c r="N21" s="406"/>
      <c r="O21" s="173"/>
    </row>
    <row r="22" spans="1:15" s="394" customFormat="1" ht="18" customHeight="1" x14ac:dyDescent="0.25">
      <c r="A22" s="485"/>
      <c r="B22" s="386" t="s">
        <v>179</v>
      </c>
      <c r="C22" s="407"/>
      <c r="D22" s="407"/>
      <c r="E22" s="407"/>
      <c r="F22" s="414">
        <f>F19</f>
        <v>3</v>
      </c>
      <c r="G22" s="408">
        <f>ROUND((1000/7/I22*100),2)</f>
        <v>160.77000000000001</v>
      </c>
      <c r="H22" s="410"/>
      <c r="I22" s="410">
        <f>'расчет УРТ и КПД'!F77</f>
        <v>88.86</v>
      </c>
      <c r="J22" s="410" t="e">
        <f>L22/K22</f>
        <v>#REF!</v>
      </c>
      <c r="K22" s="410" t="e">
        <f>#REF!+#REF!</f>
        <v>#REF!</v>
      </c>
      <c r="L22" s="387" t="e">
        <f>N22</f>
        <v>#REF!</v>
      </c>
      <c r="M22" s="410" t="e">
        <f>ROUND((K22/0.978),2)</f>
        <v>#REF!</v>
      </c>
      <c r="N22" s="387" t="e">
        <f>ROUND((G22*M22),0)</f>
        <v>#REF!</v>
      </c>
      <c r="O22" s="419" t="e">
        <f>#REF!</f>
        <v>#REF!</v>
      </c>
    </row>
    <row r="23" spans="1:15" ht="33.75" customHeight="1" x14ac:dyDescent="0.25">
      <c r="A23" s="480">
        <v>6</v>
      </c>
      <c r="B23" s="486" t="s">
        <v>261</v>
      </c>
      <c r="C23" s="383" t="s">
        <v>264</v>
      </c>
      <c r="D23" s="422">
        <v>2014</v>
      </c>
      <c r="E23" s="422">
        <v>6</v>
      </c>
      <c r="F23" s="422">
        <f>'расчет УРТ и КПД'!I90</f>
        <v>8.3000000000000004E-2</v>
      </c>
      <c r="G23" s="412">
        <f>'расчет УРТ и КПД'!H90</f>
        <v>161.52000000000001</v>
      </c>
      <c r="H23" s="381">
        <f>'расчет УРТ и КПД'!F93</f>
        <v>88.45</v>
      </c>
      <c r="I23" s="384"/>
      <c r="J23" s="385"/>
      <c r="K23" s="386"/>
      <c r="L23" s="387"/>
      <c r="M23" s="385"/>
      <c r="N23" s="413"/>
      <c r="O23" s="173"/>
    </row>
    <row r="24" spans="1:15" ht="24.75" customHeight="1" x14ac:dyDescent="0.25">
      <c r="A24" s="481"/>
      <c r="B24" s="485"/>
      <c r="C24" s="383" t="s">
        <v>265</v>
      </c>
      <c r="D24" s="422">
        <v>2014</v>
      </c>
      <c r="E24" s="422">
        <v>6</v>
      </c>
      <c r="F24" s="422">
        <f>'расчет УРТ и КПД'!I91</f>
        <v>2.5999999999999999E-2</v>
      </c>
      <c r="G24" s="412">
        <f>'расчет УРТ и КПД'!H91</f>
        <v>158.81</v>
      </c>
      <c r="H24" s="381">
        <f>'расчет УРТ и КПД'!F94</f>
        <v>89.95</v>
      </c>
      <c r="I24" s="384"/>
      <c r="J24" s="385"/>
      <c r="K24" s="386"/>
      <c r="L24" s="387"/>
      <c r="M24" s="385"/>
      <c r="N24" s="413"/>
      <c r="O24" s="173"/>
    </row>
    <row r="25" spans="1:15" s="394" customFormat="1" ht="18" customHeight="1" x14ac:dyDescent="0.25">
      <c r="A25" s="482"/>
      <c r="B25" s="386" t="s">
        <v>179</v>
      </c>
      <c r="C25" s="407"/>
      <c r="D25" s="407"/>
      <c r="E25" s="407"/>
      <c r="F25" s="416">
        <f>F23+F24</f>
        <v>0.109</v>
      </c>
      <c r="G25" s="408">
        <f>ROUND((1000/7/I25*100),2)</f>
        <v>160.86000000000001</v>
      </c>
      <c r="H25" s="409"/>
      <c r="I25" s="410">
        <f>'расчет УРТ и КПД'!F95</f>
        <v>88.808000000000007</v>
      </c>
      <c r="J25" s="410" t="e">
        <f>L25/K25</f>
        <v>#REF!</v>
      </c>
      <c r="K25" s="410" t="e">
        <f>#REF!+#REF!</f>
        <v>#REF!</v>
      </c>
      <c r="L25" s="387" t="e">
        <f>N25</f>
        <v>#REF!</v>
      </c>
      <c r="M25" s="410" t="e">
        <f>ROUND((K25/0.978),2)</f>
        <v>#REF!</v>
      </c>
      <c r="N25" s="387" t="e">
        <f>ROUND((G25*M25),0)</f>
        <v>#REF!</v>
      </c>
      <c r="O25" s="419" t="e">
        <f>#REF!</f>
        <v>#REF!</v>
      </c>
    </row>
    <row r="26" spans="1:15" ht="18" customHeight="1" x14ac:dyDescent="0.25">
      <c r="A26" s="480">
        <v>7</v>
      </c>
      <c r="B26" s="486" t="s">
        <v>263</v>
      </c>
      <c r="C26" s="383" t="s">
        <v>266</v>
      </c>
      <c r="D26" s="422">
        <v>2006</v>
      </c>
      <c r="E26" s="422">
        <v>14</v>
      </c>
      <c r="F26" s="383">
        <f>'расчет УРТ и КПД'!I120</f>
        <v>8.3000000000000004E-2</v>
      </c>
      <c r="G26" s="412">
        <f>'расчет УРТ и КПД'!H120</f>
        <v>163.94</v>
      </c>
      <c r="H26" s="381">
        <f>'расчет УРТ и КПД'!F123</f>
        <v>87.14</v>
      </c>
      <c r="I26" s="384"/>
      <c r="J26" s="385"/>
      <c r="K26" s="386"/>
      <c r="L26" s="387"/>
      <c r="M26" s="385"/>
      <c r="N26" s="413"/>
      <c r="O26" s="173"/>
    </row>
    <row r="27" spans="1:15" ht="24.75" customHeight="1" x14ac:dyDescent="0.25">
      <c r="A27" s="481"/>
      <c r="B27" s="485"/>
      <c r="C27" s="383" t="s">
        <v>266</v>
      </c>
      <c r="D27" s="422">
        <v>2006</v>
      </c>
      <c r="E27" s="422">
        <v>14</v>
      </c>
      <c r="F27" s="383">
        <f>'расчет УРТ и КПД'!I121</f>
        <v>8.3000000000000004E-2</v>
      </c>
      <c r="G27" s="412">
        <f>'расчет УРТ и КПД'!H121</f>
        <v>159.16</v>
      </c>
      <c r="H27" s="381">
        <f>'расчет УРТ и КПД'!F124</f>
        <v>89.76</v>
      </c>
      <c r="I27" s="384"/>
      <c r="J27" s="385"/>
      <c r="K27" s="386"/>
      <c r="L27" s="387"/>
      <c r="M27" s="385"/>
      <c r="N27" s="413"/>
      <c r="O27" s="173"/>
    </row>
    <row r="28" spans="1:15" s="394" customFormat="1" ht="18" customHeight="1" x14ac:dyDescent="0.25">
      <c r="A28" s="482"/>
      <c r="B28" s="386" t="s">
        <v>179</v>
      </c>
      <c r="C28" s="407"/>
      <c r="D28" s="407"/>
      <c r="E28" s="407"/>
      <c r="F28" s="416">
        <f>F26+F27</f>
        <v>0.16600000000000001</v>
      </c>
      <c r="G28" s="408">
        <f>'расчет УРТ и КПД'!F127</f>
        <v>161.51</v>
      </c>
      <c r="H28" s="409"/>
      <c r="I28" s="410">
        <f>'расчет УРТ и КПД'!F125</f>
        <v>88.45</v>
      </c>
      <c r="J28" s="410" t="e">
        <f>L28/K28</f>
        <v>#REF!</v>
      </c>
      <c r="K28" s="410" t="e">
        <f>#REF!+#REF!</f>
        <v>#REF!</v>
      </c>
      <c r="L28" s="387" t="e">
        <f>N28</f>
        <v>#REF!</v>
      </c>
      <c r="M28" s="410" t="e">
        <f>ROUND((K28/0.978),2)</f>
        <v>#REF!</v>
      </c>
      <c r="N28" s="387" t="e">
        <f>ROUND((G28*M28),0)</f>
        <v>#REF!</v>
      </c>
      <c r="O28" s="419">
        <v>0</v>
      </c>
    </row>
    <row r="29" spans="1:15" s="394" customFormat="1" ht="18" customHeight="1" x14ac:dyDescent="0.25">
      <c r="A29" s="355"/>
      <c r="B29" s="386"/>
      <c r="C29" s="383"/>
      <c r="D29" s="383"/>
      <c r="E29" s="383"/>
      <c r="F29" s="417"/>
      <c r="G29" s="408"/>
      <c r="H29" s="418"/>
      <c r="I29" s="410"/>
      <c r="J29" s="410"/>
      <c r="K29" s="410"/>
      <c r="L29" s="387"/>
      <c r="M29" s="410"/>
      <c r="N29" s="387"/>
      <c r="O29" s="411"/>
    </row>
    <row r="30" spans="1:15" ht="18" customHeight="1" x14ac:dyDescent="0.25">
      <c r="A30" s="492" t="s">
        <v>202</v>
      </c>
      <c r="B30" s="492"/>
      <c r="C30" s="492"/>
      <c r="D30" s="492"/>
      <c r="E30" s="492"/>
      <c r="F30" s="492"/>
      <c r="G30" s="492"/>
      <c r="H30" s="492"/>
      <c r="I30" s="492"/>
      <c r="J30" s="374"/>
      <c r="K30" s="382" t="e">
        <f>SUM(K4:K28)</f>
        <v>#REF!</v>
      </c>
      <c r="L30" s="406" t="e">
        <f>SUM(L4:L28)</f>
        <v>#REF!</v>
      </c>
      <c r="M30" s="382" t="e">
        <f>SUM(M4:M28)</f>
        <v>#REF!</v>
      </c>
      <c r="N30" s="406" t="e">
        <f>SUM(N4:N28)</f>
        <v>#REF!</v>
      </c>
      <c r="O30" s="406" t="e">
        <f>SUM(O4:O28)</f>
        <v>#REF!</v>
      </c>
    </row>
    <row r="31" spans="1:15" ht="20.25" customHeight="1" x14ac:dyDescent="0.25">
      <c r="A31" s="390"/>
      <c r="B31" s="390"/>
      <c r="C31" s="390"/>
      <c r="D31" s="390"/>
      <c r="E31" s="390"/>
      <c r="F31" s="391"/>
      <c r="G31" s="390"/>
      <c r="H31" s="390"/>
      <c r="I31" s="390"/>
      <c r="J31" s="373"/>
      <c r="K31" s="392"/>
      <c r="L31" s="392"/>
      <c r="M31" s="393"/>
      <c r="N31" s="393"/>
    </row>
    <row r="32" spans="1:15" ht="12.75" customHeight="1" x14ac:dyDescent="0.25">
      <c r="A32" s="395"/>
      <c r="B32" s="488" t="s">
        <v>268</v>
      </c>
      <c r="C32" s="488"/>
      <c r="D32" s="489" t="s">
        <v>50</v>
      </c>
      <c r="E32" s="490" t="e">
        <f>N30</f>
        <v>#REF!</v>
      </c>
      <c r="F32" s="491"/>
      <c r="G32" s="489" t="s">
        <v>50</v>
      </c>
      <c r="H32" s="493" t="e">
        <f>ROUND((N30/K30),2)</f>
        <v>#REF!</v>
      </c>
      <c r="I32" s="489" t="s">
        <v>36</v>
      </c>
      <c r="J32" s="395"/>
      <c r="K32" s="373"/>
      <c r="L32" s="398"/>
      <c r="M32" s="397"/>
      <c r="N32" s="396"/>
      <c r="O32" s="393"/>
    </row>
    <row r="33" spans="1:15" ht="12.75" customHeight="1" x14ac:dyDescent="0.25">
      <c r="A33" s="375"/>
      <c r="B33" s="488"/>
      <c r="C33" s="488"/>
      <c r="D33" s="489"/>
      <c r="E33" s="496" t="e">
        <f>K30</f>
        <v>#REF!</v>
      </c>
      <c r="F33" s="497"/>
      <c r="G33" s="489"/>
      <c r="H33" s="493"/>
      <c r="I33" s="489"/>
      <c r="J33" s="375"/>
    </row>
    <row r="34" spans="1:15" ht="12.75" customHeight="1" x14ac:dyDescent="0.25">
      <c r="A34" s="375"/>
      <c r="B34" s="396"/>
      <c r="C34" s="396"/>
      <c r="D34" s="396"/>
      <c r="E34" s="63"/>
      <c r="F34" s="63"/>
      <c r="G34" s="396"/>
      <c r="H34" s="375"/>
      <c r="I34" s="375"/>
    </row>
    <row r="35" spans="1:15" ht="12.75" customHeight="1" x14ac:dyDescent="0.25">
      <c r="A35" s="395"/>
      <c r="B35" s="488" t="s">
        <v>269</v>
      </c>
      <c r="C35" s="488"/>
      <c r="D35" s="489" t="s">
        <v>50</v>
      </c>
      <c r="E35" s="490" t="e">
        <f>L30</f>
        <v>#REF!</v>
      </c>
      <c r="F35" s="491"/>
      <c r="G35" s="489" t="s">
        <v>50</v>
      </c>
      <c r="H35" s="493" t="e">
        <f>ROUND((N30/M30),2)</f>
        <v>#REF!</v>
      </c>
      <c r="I35" s="489" t="s">
        <v>36</v>
      </c>
      <c r="J35" s="395"/>
      <c r="K35" s="373"/>
      <c r="L35" s="398"/>
      <c r="M35" s="397"/>
      <c r="N35" s="396"/>
      <c r="O35" s="393"/>
    </row>
    <row r="36" spans="1:15" ht="12.75" customHeight="1" x14ac:dyDescent="0.25">
      <c r="A36" s="375"/>
      <c r="B36" s="488"/>
      <c r="C36" s="488"/>
      <c r="D36" s="489"/>
      <c r="E36" s="496" t="e">
        <f>M30</f>
        <v>#REF!</v>
      </c>
      <c r="F36" s="497"/>
      <c r="G36" s="489"/>
      <c r="H36" s="493"/>
      <c r="I36" s="489"/>
      <c r="J36" s="375"/>
    </row>
    <row r="37" spans="1:15" ht="12.75" customHeight="1" x14ac:dyDescent="0.25">
      <c r="A37" s="375"/>
      <c r="B37" s="488"/>
      <c r="C37" s="488"/>
      <c r="D37" s="488"/>
      <c r="E37" s="488"/>
      <c r="F37" s="488"/>
      <c r="G37" s="488"/>
      <c r="H37" s="488"/>
      <c r="I37" s="488"/>
      <c r="J37" s="488"/>
      <c r="K37" s="488"/>
      <c r="L37" s="488"/>
      <c r="M37" s="488"/>
      <c r="N37" s="488"/>
    </row>
    <row r="38" spans="1:15" ht="12.75" customHeight="1" x14ac:dyDescent="0.25">
      <c r="A38" s="375"/>
      <c r="B38" s="488" t="s">
        <v>183</v>
      </c>
      <c r="C38" s="488"/>
      <c r="D38" s="489" t="s">
        <v>50</v>
      </c>
      <c r="E38" s="490" t="e">
        <f>O30</f>
        <v>#REF!</v>
      </c>
      <c r="F38" s="491"/>
      <c r="G38" s="489" t="s">
        <v>50</v>
      </c>
      <c r="H38" s="493" t="e">
        <f>ROUND((O30/K30),1)</f>
        <v>#REF!</v>
      </c>
      <c r="I38" s="489" t="s">
        <v>38</v>
      </c>
      <c r="J38" s="395"/>
      <c r="K38" s="395"/>
      <c r="L38" s="395"/>
      <c r="M38" s="395"/>
      <c r="N38" s="395"/>
    </row>
    <row r="39" spans="1:15" ht="12.75" customHeight="1" x14ac:dyDescent="0.25">
      <c r="A39" s="375"/>
      <c r="B39" s="488"/>
      <c r="C39" s="488"/>
      <c r="D39" s="489"/>
      <c r="E39" s="496" t="e">
        <f>K30</f>
        <v>#REF!</v>
      </c>
      <c r="F39" s="497"/>
      <c r="G39" s="489"/>
      <c r="H39" s="493"/>
      <c r="I39" s="489"/>
      <c r="J39" s="395"/>
      <c r="K39" s="395"/>
      <c r="L39" s="395"/>
      <c r="M39" s="395"/>
      <c r="N39" s="395"/>
    </row>
    <row r="40" spans="1:15" ht="12.75" customHeight="1" x14ac:dyDescent="0.25">
      <c r="A40" s="375"/>
      <c r="B40" s="395"/>
      <c r="C40" s="395"/>
      <c r="D40" s="395"/>
      <c r="E40" s="395"/>
      <c r="F40" s="395"/>
      <c r="G40" s="395"/>
      <c r="H40" s="395"/>
      <c r="I40" s="395"/>
      <c r="J40" s="395"/>
      <c r="K40" s="395"/>
      <c r="L40" s="395"/>
      <c r="M40" s="395"/>
      <c r="N40" s="395"/>
    </row>
    <row r="41" spans="1:15" ht="12.75" customHeight="1" x14ac:dyDescent="0.25">
      <c r="A41" s="375"/>
      <c r="B41" s="488" t="s">
        <v>184</v>
      </c>
      <c r="C41" s="488"/>
      <c r="D41" s="396" t="s">
        <v>50</v>
      </c>
      <c r="E41" s="493" t="e">
        <f>#REF!+#REF!+#REF!</f>
        <v>#REF!</v>
      </c>
      <c r="F41" s="493"/>
      <c r="G41" s="395" t="s">
        <v>48</v>
      </c>
      <c r="H41" s="396" t="e">
        <f>ROUND((E41*100/K30),1)</f>
        <v>#REF!</v>
      </c>
      <c r="I41" s="395" t="s">
        <v>64</v>
      </c>
      <c r="J41" s="395"/>
      <c r="K41" s="395"/>
      <c r="L41" s="395"/>
      <c r="M41" s="395"/>
      <c r="N41" s="395"/>
    </row>
    <row r="42" spans="1:15" ht="12.75" customHeight="1" x14ac:dyDescent="0.25">
      <c r="A42" s="375"/>
      <c r="B42" s="395"/>
      <c r="C42" s="395"/>
      <c r="D42" s="395"/>
      <c r="E42" s="395"/>
      <c r="F42" s="395"/>
      <c r="G42" s="395"/>
      <c r="H42" s="395"/>
      <c r="I42" s="395"/>
      <c r="J42" s="395"/>
      <c r="K42" s="395"/>
      <c r="L42" s="395"/>
      <c r="M42" s="395"/>
      <c r="N42" s="395"/>
    </row>
    <row r="43" spans="1:15" ht="12.75" customHeight="1" x14ac:dyDescent="0.25">
      <c r="A43" s="375"/>
      <c r="B43" s="395"/>
      <c r="C43" s="395"/>
      <c r="D43" s="395"/>
      <c r="E43" s="395"/>
      <c r="F43" s="395"/>
      <c r="G43" s="395"/>
      <c r="H43" s="395"/>
      <c r="I43" s="395"/>
      <c r="J43" s="395"/>
      <c r="K43" s="395"/>
      <c r="L43" s="395"/>
      <c r="M43" s="395"/>
      <c r="N43" s="395"/>
    </row>
    <row r="44" spans="1:15" ht="12.75" customHeight="1" x14ac:dyDescent="0.25">
      <c r="A44" s="375"/>
      <c r="B44" s="395"/>
      <c r="C44" s="395"/>
      <c r="D44" s="395"/>
      <c r="E44" s="395"/>
      <c r="F44" s="395"/>
      <c r="G44" s="395"/>
      <c r="H44" s="395"/>
      <c r="I44" s="395"/>
      <c r="J44" s="395"/>
      <c r="K44" s="395"/>
      <c r="L44" s="395"/>
      <c r="M44" s="395"/>
      <c r="N44" s="395"/>
    </row>
    <row r="45" spans="1:15" ht="12.75" customHeight="1" x14ac:dyDescent="0.25">
      <c r="A45" s="375"/>
      <c r="B45" s="395"/>
      <c r="C45" s="395"/>
      <c r="D45" s="395"/>
      <c r="E45" s="395"/>
      <c r="F45" s="395"/>
      <c r="G45" s="395"/>
      <c r="H45" s="395"/>
      <c r="I45" s="395"/>
      <c r="J45" s="395"/>
      <c r="K45" s="395"/>
      <c r="L45" s="395"/>
      <c r="M45" s="395"/>
      <c r="N45" s="395"/>
    </row>
    <row r="46" spans="1:15" ht="12.75" customHeight="1" x14ac:dyDescent="0.25">
      <c r="A46" s="375"/>
      <c r="B46" s="395"/>
      <c r="C46" s="395"/>
      <c r="D46" s="395"/>
      <c r="E46" s="395"/>
      <c r="F46" s="395"/>
      <c r="G46" s="395"/>
      <c r="H46" s="395"/>
      <c r="I46" s="395"/>
      <c r="J46" s="395"/>
      <c r="K46" s="395"/>
      <c r="L46" s="395"/>
      <c r="M46" s="395"/>
      <c r="N46" s="395"/>
    </row>
    <row r="47" spans="1:15" ht="12.75" customHeight="1" x14ac:dyDescent="0.25">
      <c r="A47" s="375"/>
      <c r="B47" s="395" t="s">
        <v>267</v>
      </c>
      <c r="C47" s="395"/>
      <c r="D47" s="395"/>
      <c r="E47" s="395"/>
      <c r="F47" s="395"/>
      <c r="G47" s="395"/>
      <c r="H47" s="395"/>
      <c r="I47" s="395"/>
      <c r="J47" s="395"/>
      <c r="K47" s="395"/>
      <c r="L47" s="395" t="s">
        <v>185</v>
      </c>
      <c r="M47" s="395"/>
      <c r="N47" s="395"/>
    </row>
    <row r="48" spans="1:15" ht="12.75" customHeight="1" x14ac:dyDescent="0.25">
      <c r="A48" s="375"/>
      <c r="B48" s="395"/>
      <c r="C48" s="395"/>
      <c r="D48" s="395"/>
      <c r="E48" s="395"/>
      <c r="F48" s="395"/>
      <c r="G48" s="395"/>
      <c r="H48" s="395"/>
      <c r="I48" s="395"/>
      <c r="J48" s="395"/>
      <c r="K48" s="395"/>
      <c r="L48" s="395"/>
      <c r="M48" s="395"/>
      <c r="N48" s="395"/>
    </row>
    <row r="49" spans="1:14" ht="12.75" customHeight="1" x14ac:dyDescent="0.25">
      <c r="A49" s="375"/>
      <c r="B49" s="396"/>
      <c r="C49" s="396"/>
      <c r="D49" s="396"/>
      <c r="E49" s="63"/>
      <c r="F49" s="63"/>
      <c r="G49" s="396"/>
      <c r="H49" s="375"/>
      <c r="I49" s="375"/>
    </row>
    <row r="50" spans="1:14" ht="12.75" customHeight="1" x14ac:dyDescent="0.25">
      <c r="A50" s="375"/>
      <c r="B50" s="395" t="s">
        <v>203</v>
      </c>
      <c r="C50" s="395"/>
      <c r="D50" s="395"/>
      <c r="E50" s="395"/>
      <c r="F50" s="395"/>
      <c r="G50" s="395"/>
      <c r="H50" s="395"/>
      <c r="I50" s="395"/>
      <c r="J50" s="395"/>
      <c r="K50" s="395"/>
      <c r="L50" s="395" t="s">
        <v>204</v>
      </c>
      <c r="M50" s="395"/>
      <c r="N50" s="395"/>
    </row>
    <row r="51" spans="1:14" ht="14.25" customHeight="1" x14ac:dyDescent="0.25">
      <c r="A51" s="375"/>
      <c r="B51" s="396"/>
      <c r="C51" s="396"/>
      <c r="D51" s="396"/>
      <c r="E51" s="63"/>
      <c r="F51" s="63"/>
      <c r="G51" s="396"/>
      <c r="H51" s="375"/>
      <c r="I51" s="375"/>
    </row>
    <row r="52" spans="1:14" ht="14.25" customHeight="1" x14ac:dyDescent="0.25">
      <c r="A52" s="375"/>
      <c r="B52" s="396"/>
      <c r="C52" s="396"/>
      <c r="D52" s="396"/>
      <c r="E52" s="63"/>
      <c r="F52" s="63"/>
      <c r="G52" s="396"/>
      <c r="H52" s="375"/>
      <c r="I52" s="375"/>
    </row>
    <row r="53" spans="1:14" ht="12.75" customHeight="1" x14ac:dyDescent="0.25">
      <c r="A53" s="375"/>
      <c r="B53" s="396"/>
      <c r="C53" s="396"/>
      <c r="D53" s="396"/>
      <c r="E53" s="63"/>
      <c r="F53" s="63"/>
      <c r="G53" s="396"/>
      <c r="H53" s="375"/>
      <c r="I53" s="375"/>
    </row>
    <row r="54" spans="1:14" hidden="1" x14ac:dyDescent="0.25">
      <c r="A54" s="495" t="s">
        <v>0</v>
      </c>
      <c r="B54" s="495"/>
      <c r="C54" s="495"/>
      <c r="D54" s="495"/>
      <c r="E54" s="495"/>
      <c r="F54" s="495"/>
      <c r="G54" s="495"/>
      <c r="H54" s="495"/>
      <c r="I54" s="495"/>
      <c r="J54" s="495"/>
      <c r="K54" s="495"/>
    </row>
    <row r="55" spans="1:14" hidden="1" x14ac:dyDescent="0.25">
      <c r="A55" s="495"/>
      <c r="B55" s="495"/>
      <c r="C55" s="495"/>
      <c r="D55" s="495"/>
      <c r="E55" s="495"/>
      <c r="F55" s="495"/>
      <c r="G55" s="495"/>
      <c r="H55" s="495"/>
      <c r="I55" s="495"/>
      <c r="J55" s="495"/>
      <c r="K55" s="495"/>
    </row>
    <row r="56" spans="1:14" hidden="1" x14ac:dyDescent="0.25">
      <c r="A56" s="495"/>
      <c r="B56" s="495"/>
      <c r="C56" s="495"/>
      <c r="D56" s="495"/>
      <c r="E56" s="495"/>
      <c r="F56" s="495"/>
      <c r="G56" s="495"/>
      <c r="H56" s="495"/>
      <c r="I56" s="495"/>
      <c r="J56" s="495"/>
      <c r="K56" s="495"/>
    </row>
    <row r="57" spans="1:14" ht="21.2" hidden="1" customHeight="1" x14ac:dyDescent="0.25">
      <c r="A57" s="494" t="s">
        <v>1</v>
      </c>
      <c r="B57" s="494"/>
      <c r="C57" s="494"/>
      <c r="D57" s="494"/>
      <c r="E57" s="494"/>
      <c r="F57" s="494"/>
      <c r="G57" s="494"/>
      <c r="H57" s="494"/>
      <c r="I57" s="494"/>
      <c r="J57" s="494"/>
      <c r="K57" s="494"/>
    </row>
    <row r="58" spans="1:14" ht="33" hidden="1" customHeight="1" x14ac:dyDescent="0.25">
      <c r="A58" s="494" t="s">
        <v>2</v>
      </c>
      <c r="B58" s="494"/>
      <c r="C58" s="494"/>
      <c r="D58" s="494"/>
      <c r="E58" s="494"/>
      <c r="F58" s="494"/>
      <c r="G58" s="494"/>
      <c r="H58" s="494"/>
      <c r="I58" s="494"/>
      <c r="J58" s="494"/>
      <c r="K58" s="494"/>
    </row>
    <row r="59" spans="1:14" ht="20.25" hidden="1" customHeight="1" x14ac:dyDescent="0.25">
      <c r="A59" s="494" t="s">
        <v>3</v>
      </c>
      <c r="B59" s="494"/>
      <c r="C59" s="494"/>
      <c r="D59" s="494"/>
      <c r="E59" s="494"/>
      <c r="F59" s="494"/>
      <c r="G59" s="494"/>
      <c r="H59" s="494"/>
      <c r="I59" s="494"/>
      <c r="J59" s="494"/>
      <c r="K59" s="494"/>
    </row>
    <row r="60" spans="1:14" ht="23.25" hidden="1" customHeight="1" x14ac:dyDescent="0.25">
      <c r="A60" s="494" t="s">
        <v>4</v>
      </c>
      <c r="B60" s="494"/>
      <c r="C60" s="494"/>
      <c r="D60" s="494"/>
      <c r="E60" s="494"/>
      <c r="F60" s="494"/>
      <c r="G60" s="494"/>
      <c r="H60" s="494"/>
      <c r="I60" s="494"/>
      <c r="J60" s="494"/>
      <c r="K60" s="494"/>
    </row>
    <row r="61" spans="1:14" ht="22.7" hidden="1" customHeight="1" x14ac:dyDescent="0.25">
      <c r="A61" s="494" t="s">
        <v>5</v>
      </c>
      <c r="B61" s="494"/>
      <c r="C61" s="494"/>
      <c r="D61" s="494"/>
      <c r="E61" s="494"/>
      <c r="F61" s="494"/>
      <c r="G61" s="494"/>
      <c r="H61" s="494"/>
      <c r="I61" s="494"/>
      <c r="J61" s="494"/>
      <c r="K61" s="494"/>
    </row>
    <row r="62" spans="1:14" ht="28.5" hidden="1" customHeight="1" x14ac:dyDescent="0.25">
      <c r="A62" s="494" t="s">
        <v>6</v>
      </c>
      <c r="B62" s="494"/>
      <c r="C62" s="494"/>
      <c r="D62" s="494"/>
      <c r="E62" s="494"/>
      <c r="F62" s="494"/>
      <c r="G62" s="494"/>
      <c r="H62" s="494"/>
      <c r="I62" s="494"/>
      <c r="J62" s="494"/>
      <c r="K62" s="494"/>
    </row>
    <row r="63" spans="1:14" ht="31.7" hidden="1" customHeight="1" x14ac:dyDescent="0.25">
      <c r="A63" s="487" t="s">
        <v>7</v>
      </c>
      <c r="B63" s="487"/>
      <c r="C63" s="487"/>
      <c r="D63" s="487"/>
      <c r="E63" s="487"/>
      <c r="F63" s="487"/>
      <c r="G63" s="487"/>
      <c r="H63" s="487"/>
      <c r="I63" s="487"/>
      <c r="J63" s="487"/>
      <c r="K63" s="487"/>
    </row>
    <row r="64" spans="1:14" hidden="1" x14ac:dyDescent="0.25"/>
  </sheetData>
  <mergeCells count="47">
    <mergeCell ref="I32:I33"/>
    <mergeCell ref="E33:F33"/>
    <mergeCell ref="G35:G36"/>
    <mergeCell ref="H35:H36"/>
    <mergeCell ref="E36:F36"/>
    <mergeCell ref="B37:N37"/>
    <mergeCell ref="I35:I36"/>
    <mergeCell ref="A54:K56"/>
    <mergeCell ref="B38:C39"/>
    <mergeCell ref="D38:D39"/>
    <mergeCell ref="I38:I39"/>
    <mergeCell ref="B41:C41"/>
    <mergeCell ref="E41:F41"/>
    <mergeCell ref="E38:F38"/>
    <mergeCell ref="G38:G39"/>
    <mergeCell ref="H38:H39"/>
    <mergeCell ref="E39:F39"/>
    <mergeCell ref="A61:K61"/>
    <mergeCell ref="A62:K62"/>
    <mergeCell ref="A57:K57"/>
    <mergeCell ref="A58:K58"/>
    <mergeCell ref="A59:K59"/>
    <mergeCell ref="A60:K60"/>
    <mergeCell ref="A26:A28"/>
    <mergeCell ref="A13:A15"/>
    <mergeCell ref="A63:K63"/>
    <mergeCell ref="B16:B17"/>
    <mergeCell ref="A19:A22"/>
    <mergeCell ref="B23:B24"/>
    <mergeCell ref="B26:B27"/>
    <mergeCell ref="B35:C36"/>
    <mergeCell ref="D35:D36"/>
    <mergeCell ref="E35:F35"/>
    <mergeCell ref="A30:I30"/>
    <mergeCell ref="B32:C33"/>
    <mergeCell ref="D32:D33"/>
    <mergeCell ref="E32:F32"/>
    <mergeCell ref="G32:G33"/>
    <mergeCell ref="H32:H33"/>
    <mergeCell ref="A16:A18"/>
    <mergeCell ref="A23:A25"/>
    <mergeCell ref="A1:N1"/>
    <mergeCell ref="A4:A9"/>
    <mergeCell ref="B4:B8"/>
    <mergeCell ref="A10:A12"/>
    <mergeCell ref="B10:B11"/>
    <mergeCell ref="B13:B14"/>
  </mergeCells>
  <printOptions horizontalCentered="1"/>
  <pageMargins left="0" right="0" top="0.74803149606299213" bottom="0" header="0.31496062992125984" footer="0.31496062992125984"/>
  <pageSetup paperSize="9" scale="90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  <pageSetUpPr fitToPage="1"/>
  </sheetPr>
  <dimension ref="A1:T14"/>
  <sheetViews>
    <sheetView workbookViewId="0">
      <selection activeCell="G10" sqref="G10"/>
    </sheetView>
  </sheetViews>
  <sheetFormatPr defaultColWidth="9.140625" defaultRowHeight="15.75" x14ac:dyDescent="0.25"/>
  <cols>
    <col min="1" max="1" width="6.140625" style="4" customWidth="1"/>
    <col min="2" max="2" width="15.140625" style="4" customWidth="1"/>
    <col min="3" max="3" width="22" style="4" customWidth="1"/>
    <col min="4" max="4" width="31.140625" style="4" customWidth="1"/>
    <col min="5" max="5" width="8.7109375" style="4" customWidth="1"/>
    <col min="6" max="6" width="12.140625" style="4" customWidth="1"/>
    <col min="7" max="7" width="12.28515625" style="4" customWidth="1"/>
    <col min="8" max="10" width="9.140625" style="4"/>
    <col min="11" max="11" width="7.5703125" style="4" customWidth="1"/>
    <col min="12" max="12" width="8.28515625" style="4" customWidth="1"/>
    <col min="13" max="16384" width="9.140625" style="4"/>
  </cols>
  <sheetData>
    <row r="1" spans="1:20" s="58" customFormat="1" x14ac:dyDescent="0.25">
      <c r="A1" s="56" t="s">
        <v>331</v>
      </c>
      <c r="B1" s="56"/>
      <c r="C1" s="56"/>
      <c r="D1" s="56"/>
      <c r="E1" s="56"/>
      <c r="F1" s="56"/>
      <c r="G1" s="56"/>
    </row>
    <row r="2" spans="1:20" x14ac:dyDescent="0.25">
      <c r="S2" s="4" t="s">
        <v>343</v>
      </c>
    </row>
    <row r="3" spans="1:20" ht="15.75" customHeight="1" x14ac:dyDescent="0.25">
      <c r="A3" s="503" t="s">
        <v>329</v>
      </c>
      <c r="B3" s="500" t="s">
        <v>330</v>
      </c>
      <c r="C3" s="500"/>
      <c r="D3" s="500" t="s">
        <v>230</v>
      </c>
      <c r="E3" s="500" t="s">
        <v>332</v>
      </c>
      <c r="F3" s="500" t="s">
        <v>326</v>
      </c>
      <c r="G3" s="500" t="s">
        <v>342</v>
      </c>
      <c r="H3" s="486" t="s">
        <v>328</v>
      </c>
      <c r="I3" s="504" t="s">
        <v>322</v>
      </c>
      <c r="J3" s="505"/>
      <c r="K3" s="505"/>
      <c r="L3" s="505"/>
      <c r="M3" s="505"/>
      <c r="N3" s="505"/>
      <c r="O3" s="505"/>
      <c r="P3" s="505"/>
      <c r="Q3" s="505"/>
      <c r="R3" s="505"/>
      <c r="S3" s="505"/>
      <c r="T3" s="506"/>
    </row>
    <row r="4" spans="1:20" ht="15.75" customHeight="1" x14ac:dyDescent="0.25">
      <c r="A4" s="503"/>
      <c r="B4" s="501"/>
      <c r="C4" s="501"/>
      <c r="D4" s="501"/>
      <c r="E4" s="501"/>
      <c r="F4" s="501"/>
      <c r="G4" s="501"/>
      <c r="H4" s="486"/>
      <c r="I4" s="507" t="s">
        <v>323</v>
      </c>
      <c r="J4" s="508"/>
      <c r="K4" s="508"/>
      <c r="L4" s="509"/>
      <c r="M4" s="507" t="s">
        <v>324</v>
      </c>
      <c r="N4" s="508"/>
      <c r="O4" s="508"/>
      <c r="P4" s="509"/>
      <c r="Q4" s="507" t="s">
        <v>325</v>
      </c>
      <c r="R4" s="508"/>
      <c r="S4" s="508"/>
      <c r="T4" s="509"/>
    </row>
    <row r="5" spans="1:20" ht="108" customHeight="1" x14ac:dyDescent="0.25">
      <c r="A5" s="503"/>
      <c r="B5" s="502"/>
      <c r="C5" s="502"/>
      <c r="D5" s="502"/>
      <c r="E5" s="501"/>
      <c r="F5" s="502"/>
      <c r="G5" s="502"/>
      <c r="H5" s="486"/>
      <c r="I5" s="426" t="s">
        <v>174</v>
      </c>
      <c r="J5" s="425" t="s">
        <v>178</v>
      </c>
      <c r="K5" s="425" t="s">
        <v>321</v>
      </c>
      <c r="L5" s="425" t="s">
        <v>210</v>
      </c>
      <c r="M5" s="426" t="s">
        <v>174</v>
      </c>
      <c r="N5" s="425" t="s">
        <v>178</v>
      </c>
      <c r="O5" s="425" t="s">
        <v>321</v>
      </c>
      <c r="P5" s="425" t="s">
        <v>210</v>
      </c>
      <c r="Q5" s="426" t="s">
        <v>174</v>
      </c>
      <c r="R5" s="425" t="s">
        <v>178</v>
      </c>
      <c r="S5" s="425" t="s">
        <v>321</v>
      </c>
      <c r="T5" s="425" t="s">
        <v>210</v>
      </c>
    </row>
    <row r="6" spans="1:20" x14ac:dyDescent="0.25">
      <c r="A6" s="173">
        <v>1</v>
      </c>
      <c r="B6" s="421">
        <v>32</v>
      </c>
      <c r="C6" s="431" t="s">
        <v>336</v>
      </c>
      <c r="D6" s="431" t="s">
        <v>337</v>
      </c>
      <c r="E6" s="173">
        <v>7</v>
      </c>
      <c r="F6" s="510" t="s">
        <v>335</v>
      </c>
      <c r="G6" s="480">
        <v>0</v>
      </c>
      <c r="H6" s="427">
        <f>Q6+M6+I6</f>
        <v>0</v>
      </c>
      <c r="I6" s="427">
        <f>J6+K6+L6</f>
        <v>0</v>
      </c>
      <c r="J6" s="173">
        <v>0</v>
      </c>
      <c r="K6" s="173">
        <v>0</v>
      </c>
      <c r="L6" s="173">
        <v>0</v>
      </c>
      <c r="M6" s="427">
        <f>N6+O6+P6</f>
        <v>0</v>
      </c>
      <c r="N6" s="173">
        <f>ROUND((G10/E10*E6*12/1000),3)</f>
        <v>0</v>
      </c>
      <c r="O6" s="173">
        <v>0</v>
      </c>
      <c r="P6" s="173">
        <v>0</v>
      </c>
      <c r="Q6" s="427">
        <f>R6+S6+T6</f>
        <v>0</v>
      </c>
      <c r="R6" s="173">
        <v>0</v>
      </c>
      <c r="S6" s="173">
        <v>0</v>
      </c>
      <c r="T6" s="173">
        <v>0</v>
      </c>
    </row>
    <row r="7" spans="1:20" ht="19.5" customHeight="1" x14ac:dyDescent="0.25">
      <c r="A7" s="173">
        <v>2</v>
      </c>
      <c r="B7" s="377">
        <v>36</v>
      </c>
      <c r="C7" s="431" t="s">
        <v>338</v>
      </c>
      <c r="D7" s="431" t="s">
        <v>339</v>
      </c>
      <c r="E7" s="173">
        <v>11</v>
      </c>
      <c r="F7" s="510"/>
      <c r="G7" s="481"/>
      <c r="H7" s="427">
        <f>Q7+M7+I7</f>
        <v>0</v>
      </c>
      <c r="I7" s="427">
        <f>J7+K7+L7</f>
        <v>0</v>
      </c>
      <c r="J7" s="173">
        <f>ROUND(($G$6/$E$10*E7*12/1000),3)</f>
        <v>0</v>
      </c>
      <c r="K7" s="173">
        <v>0</v>
      </c>
      <c r="L7" s="173">
        <v>0</v>
      </c>
      <c r="M7" s="427">
        <f>N7+O7+P7</f>
        <v>0</v>
      </c>
      <c r="N7" s="173">
        <v>0</v>
      </c>
      <c r="O7" s="173">
        <v>0</v>
      </c>
      <c r="P7" s="173">
        <v>0</v>
      </c>
      <c r="Q7" s="427">
        <f>R7+S7+T7</f>
        <v>0</v>
      </c>
      <c r="R7" s="173">
        <v>0</v>
      </c>
      <c r="S7" s="173">
        <v>0</v>
      </c>
      <c r="T7" s="173">
        <v>0</v>
      </c>
    </row>
    <row r="8" spans="1:20" x14ac:dyDescent="0.25">
      <c r="A8" s="173">
        <v>3</v>
      </c>
      <c r="B8" s="498">
        <v>37</v>
      </c>
      <c r="C8" s="431" t="s">
        <v>333</v>
      </c>
      <c r="D8" s="431" t="s">
        <v>334</v>
      </c>
      <c r="E8" s="173">
        <v>8</v>
      </c>
      <c r="F8" s="510"/>
      <c r="G8" s="481"/>
      <c r="H8" s="427">
        <f>Q8+M8+I8</f>
        <v>0</v>
      </c>
      <c r="I8" s="427">
        <f>J8+K8+L8</f>
        <v>0</v>
      </c>
      <c r="J8" s="173">
        <f>ROUND(($G$6/$E$10*E8*12/1000),3)</f>
        <v>0</v>
      </c>
      <c r="K8" s="173">
        <v>0</v>
      </c>
      <c r="L8" s="173">
        <v>0</v>
      </c>
      <c r="M8" s="427">
        <f>N8+O8+P8</f>
        <v>0</v>
      </c>
      <c r="N8" s="173">
        <v>0</v>
      </c>
      <c r="O8" s="173">
        <v>0</v>
      </c>
      <c r="P8" s="173">
        <v>0</v>
      </c>
      <c r="Q8" s="427">
        <f>R8+S8+T8</f>
        <v>0</v>
      </c>
      <c r="R8" s="173">
        <v>0</v>
      </c>
      <c r="S8" s="173">
        <v>0</v>
      </c>
      <c r="T8" s="173">
        <v>0</v>
      </c>
    </row>
    <row r="9" spans="1:20" ht="57.2" customHeight="1" x14ac:dyDescent="0.25">
      <c r="A9" s="173">
        <v>4</v>
      </c>
      <c r="B9" s="499"/>
      <c r="C9" s="431" t="s">
        <v>340</v>
      </c>
      <c r="D9" s="431" t="s">
        <v>341</v>
      </c>
      <c r="E9" s="173">
        <v>3</v>
      </c>
      <c r="F9" s="510"/>
      <c r="G9" s="482"/>
      <c r="H9" s="427">
        <f>Q9+M9+I9</f>
        <v>0</v>
      </c>
      <c r="I9" s="427">
        <f>J9+K9+L9</f>
        <v>0</v>
      </c>
      <c r="J9" s="173">
        <f>ROUND(($G$6/$E$10*E9*12/1000),3)</f>
        <v>0</v>
      </c>
      <c r="K9" s="173">
        <v>0</v>
      </c>
      <c r="L9" s="173">
        <v>0</v>
      </c>
      <c r="M9" s="427">
        <f>N9+O9+P9</f>
        <v>0</v>
      </c>
      <c r="N9" s="173">
        <v>0</v>
      </c>
      <c r="O9" s="173">
        <v>0</v>
      </c>
      <c r="P9" s="173">
        <v>0</v>
      </c>
      <c r="Q9" s="427">
        <f>R9+S9+T9</f>
        <v>0</v>
      </c>
      <c r="R9" s="173">
        <v>0</v>
      </c>
      <c r="S9" s="173">
        <v>0</v>
      </c>
      <c r="T9" s="173">
        <v>0</v>
      </c>
    </row>
    <row r="10" spans="1:20" x14ac:dyDescent="0.25">
      <c r="A10" s="379" t="s">
        <v>293</v>
      </c>
      <c r="B10" s="379"/>
      <c r="C10" s="379"/>
      <c r="D10" s="379"/>
      <c r="E10" s="379">
        <f>SUM(E6:E9)</f>
        <v>29</v>
      </c>
      <c r="F10" s="379"/>
      <c r="G10" s="379">
        <f t="shared" ref="G10:T10" si="0">SUM(G6:G9)</f>
        <v>0</v>
      </c>
      <c r="H10" s="428">
        <f t="shared" si="0"/>
        <v>0</v>
      </c>
      <c r="I10" s="428">
        <f t="shared" si="0"/>
        <v>0</v>
      </c>
      <c r="J10" s="428">
        <f t="shared" si="0"/>
        <v>0</v>
      </c>
      <c r="K10" s="428">
        <f t="shared" si="0"/>
        <v>0</v>
      </c>
      <c r="L10" s="428">
        <f t="shared" si="0"/>
        <v>0</v>
      </c>
      <c r="M10" s="428">
        <f t="shared" si="0"/>
        <v>0</v>
      </c>
      <c r="N10" s="428">
        <f t="shared" si="0"/>
        <v>0</v>
      </c>
      <c r="O10" s="428">
        <f t="shared" si="0"/>
        <v>0</v>
      </c>
      <c r="P10" s="428">
        <f t="shared" si="0"/>
        <v>0</v>
      </c>
      <c r="Q10" s="428">
        <f t="shared" si="0"/>
        <v>0</v>
      </c>
      <c r="R10" s="428">
        <f t="shared" si="0"/>
        <v>0</v>
      </c>
      <c r="S10" s="428">
        <f t="shared" si="0"/>
        <v>0</v>
      </c>
      <c r="T10" s="428">
        <f t="shared" si="0"/>
        <v>0</v>
      </c>
    </row>
    <row r="11" spans="1:20" ht="91.5" customHeight="1" x14ac:dyDescent="0.25">
      <c r="C11" s="378"/>
      <c r="D11" s="378"/>
      <c r="E11" s="378"/>
    </row>
    <row r="12" spans="1:20" x14ac:dyDescent="0.25">
      <c r="D12" s="4" t="s">
        <v>8</v>
      </c>
      <c r="J12" s="4" t="s">
        <v>11</v>
      </c>
    </row>
    <row r="14" spans="1:20" ht="21.2" customHeight="1" x14ac:dyDescent="0.25">
      <c r="D14" s="4" t="s">
        <v>274</v>
      </c>
      <c r="H14" s="420"/>
      <c r="J14" s="4" t="s">
        <v>271</v>
      </c>
    </row>
  </sheetData>
  <mergeCells count="15">
    <mergeCell ref="I3:T3"/>
    <mergeCell ref="I4:L4"/>
    <mergeCell ref="M4:P4"/>
    <mergeCell ref="Q4:T4"/>
    <mergeCell ref="F6:F9"/>
    <mergeCell ref="B8:B9"/>
    <mergeCell ref="F3:F5"/>
    <mergeCell ref="G3:G5"/>
    <mergeCell ref="H3:H5"/>
    <mergeCell ref="A3:A5"/>
    <mergeCell ref="B3:B5"/>
    <mergeCell ref="C3:C5"/>
    <mergeCell ref="E3:E5"/>
    <mergeCell ref="D3:D5"/>
    <mergeCell ref="G6:G9"/>
  </mergeCells>
  <printOptions horizontalCentered="1"/>
  <pageMargins left="0" right="0" top="0.74803149606299213" bottom="0" header="0.31496062992125984" footer="0.31496062992125984"/>
  <pageSetup paperSize="9" scale="65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/>
  </sheetPr>
  <dimension ref="A1:AK682"/>
  <sheetViews>
    <sheetView view="pageBreakPreview" zoomScale="60" zoomScaleNormal="86" workbookViewId="0">
      <selection activeCell="J15" sqref="J15"/>
    </sheetView>
  </sheetViews>
  <sheetFormatPr defaultColWidth="9.140625" defaultRowHeight="12.75" x14ac:dyDescent="0.2"/>
  <cols>
    <col min="1" max="1" width="11.140625" style="1" customWidth="1"/>
    <col min="2" max="2" width="13.42578125" style="1" customWidth="1"/>
    <col min="3" max="3" width="12.5703125" style="1" customWidth="1"/>
    <col min="4" max="4" width="13.5703125" style="1" customWidth="1"/>
    <col min="5" max="5" width="11" style="1" customWidth="1"/>
    <col min="6" max="6" width="10.85546875" style="1" customWidth="1"/>
    <col min="7" max="7" width="12.5703125" style="1" customWidth="1"/>
    <col min="8" max="8" width="7.140625" style="1" customWidth="1"/>
    <col min="9" max="9" width="8.140625" style="1" customWidth="1"/>
    <col min="10" max="10" width="13.28515625" style="1" customWidth="1"/>
    <col min="11" max="11" width="10.28515625" style="1" customWidth="1"/>
    <col min="12" max="12" width="9.5703125" style="1" customWidth="1"/>
    <col min="13" max="13" width="10.5703125" style="1" customWidth="1"/>
    <col min="14" max="14" width="9.5703125" style="1" customWidth="1"/>
    <col min="15" max="15" width="10.5703125" style="1" customWidth="1"/>
    <col min="16" max="16" width="10.7109375" style="1" customWidth="1"/>
    <col min="17" max="17" width="11.7109375" style="1" customWidth="1"/>
    <col min="18" max="18" width="9.140625" style="1"/>
    <col min="19" max="19" width="10.85546875" style="1" customWidth="1"/>
    <col min="20" max="20" width="10" style="1" customWidth="1"/>
    <col min="21" max="21" width="9.42578125" style="1" customWidth="1"/>
    <col min="22" max="22" width="11.42578125" style="1" customWidth="1"/>
    <col min="23" max="23" width="9.7109375" style="1" customWidth="1"/>
    <col min="24" max="25" width="9.140625" style="1"/>
    <col min="26" max="26" width="10.7109375" style="1" customWidth="1"/>
    <col min="27" max="27" width="18" style="1" customWidth="1"/>
    <col min="28" max="28" width="9.140625" style="1"/>
    <col min="29" max="29" width="10.7109375" style="1" customWidth="1"/>
    <col min="30" max="31" width="9.140625" style="1"/>
    <col min="32" max="32" width="6.7109375" style="1" customWidth="1"/>
    <col min="33" max="36" width="9.140625" style="1"/>
    <col min="37" max="37" width="12.85546875" style="1" customWidth="1"/>
    <col min="38" max="16384" width="9.140625" style="1"/>
  </cols>
  <sheetData>
    <row r="1" spans="1:27" s="176" customFormat="1" ht="20.25" x14ac:dyDescent="0.3">
      <c r="A1" s="528" t="s">
        <v>27</v>
      </c>
      <c r="B1" s="528"/>
      <c r="C1" s="528"/>
      <c r="D1" s="528"/>
      <c r="E1" s="528"/>
      <c r="F1" s="528"/>
      <c r="G1" s="528"/>
      <c r="H1" s="528"/>
      <c r="I1" s="528"/>
      <c r="J1" s="528"/>
      <c r="K1" s="528"/>
      <c r="L1" s="528"/>
      <c r="M1" s="528"/>
      <c r="N1" s="528"/>
      <c r="O1" s="528"/>
      <c r="P1" s="174"/>
      <c r="Q1" s="174"/>
      <c r="R1" s="174"/>
      <c r="S1" s="174"/>
      <c r="T1" s="175"/>
      <c r="U1" s="175"/>
      <c r="V1" s="175"/>
      <c r="W1" s="175"/>
      <c r="X1" s="175"/>
      <c r="Y1" s="175"/>
      <c r="Z1" s="175"/>
      <c r="AA1" s="175"/>
    </row>
    <row r="2" spans="1:27" s="176" customFormat="1" ht="20.25" x14ac:dyDescent="0.3">
      <c r="A2" s="174"/>
      <c r="B2" s="174"/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74"/>
      <c r="Q2" s="175"/>
      <c r="R2" s="175"/>
      <c r="S2" s="175"/>
      <c r="T2" s="175"/>
      <c r="U2" s="175"/>
      <c r="V2" s="175"/>
      <c r="W2" s="175"/>
      <c r="X2" s="175"/>
      <c r="Y2" s="175"/>
      <c r="Z2" s="175"/>
      <c r="AA2" s="175"/>
    </row>
    <row r="3" spans="1:27" s="176" customFormat="1" ht="20.25" x14ac:dyDescent="0.3">
      <c r="A3" s="174"/>
      <c r="B3" s="177"/>
      <c r="C3" s="177" t="s">
        <v>74</v>
      </c>
      <c r="D3" s="178" t="s">
        <v>75</v>
      </c>
      <c r="E3" s="177" t="s">
        <v>76</v>
      </c>
      <c r="F3" s="177" t="s">
        <v>77</v>
      </c>
      <c r="G3" s="179" t="s">
        <v>78</v>
      </c>
      <c r="H3" s="177" t="s">
        <v>79</v>
      </c>
      <c r="I3" s="179" t="s">
        <v>80</v>
      </c>
      <c r="J3" s="180"/>
      <c r="K3" s="181"/>
      <c r="L3" s="181"/>
      <c r="M3" s="182"/>
      <c r="N3" s="182"/>
      <c r="O3" s="174"/>
      <c r="P3" s="174"/>
      <c r="Q3" s="175"/>
      <c r="R3" s="183" t="s">
        <v>81</v>
      </c>
      <c r="S3" s="175"/>
      <c r="T3" s="183"/>
      <c r="U3" s="175"/>
      <c r="V3" s="175"/>
      <c r="W3" s="175"/>
      <c r="X3" s="175"/>
      <c r="Y3" s="175"/>
      <c r="Z3" s="175"/>
      <c r="AA3" s="175"/>
    </row>
    <row r="4" spans="1:27" s="176" customFormat="1" ht="20.25" x14ac:dyDescent="0.3">
      <c r="A4" s="174"/>
      <c r="B4" s="184" t="s">
        <v>41</v>
      </c>
      <c r="C4" s="185" t="e">
        <f>I4*24</f>
        <v>#REF!</v>
      </c>
      <c r="D4" s="186" t="e">
        <f>#REF!</f>
        <v>#REF!</v>
      </c>
      <c r="E4" s="186">
        <v>62</v>
      </c>
      <c r="F4" s="186">
        <v>49</v>
      </c>
      <c r="G4" s="186">
        <v>4.7</v>
      </c>
      <c r="H4" s="186">
        <v>5</v>
      </c>
      <c r="I4" s="186" t="e">
        <f>#REF!</f>
        <v>#REF!</v>
      </c>
      <c r="J4" s="182"/>
      <c r="K4" s="182"/>
      <c r="L4" s="182"/>
      <c r="M4" s="182"/>
      <c r="N4" s="174"/>
      <c r="O4" s="174"/>
      <c r="P4" s="175"/>
      <c r="Q4" s="175"/>
      <c r="R4" s="175"/>
      <c r="S4" s="175"/>
      <c r="T4" s="175"/>
      <c r="U4" s="175"/>
      <c r="V4" s="175"/>
      <c r="W4" s="175"/>
      <c r="X4" s="175"/>
      <c r="Y4" s="175"/>
      <c r="Z4" s="175"/>
      <c r="AA4" s="175"/>
    </row>
    <row r="5" spans="1:27" s="176" customFormat="1" ht="20.25" x14ac:dyDescent="0.3">
      <c r="A5" s="174"/>
      <c r="B5" s="184" t="s">
        <v>42</v>
      </c>
      <c r="C5" s="185" t="e">
        <f t="shared" ref="C5:C10" si="0">I5*24</f>
        <v>#REF!</v>
      </c>
      <c r="D5" s="186" t="e">
        <f>#REF!</f>
        <v>#REF!</v>
      </c>
      <c r="E5" s="186">
        <v>57</v>
      </c>
      <c r="F5" s="186">
        <v>46</v>
      </c>
      <c r="G5" s="186">
        <v>3.4</v>
      </c>
      <c r="H5" s="186">
        <v>5</v>
      </c>
      <c r="I5" s="186" t="e">
        <f>#REF!</f>
        <v>#REF!</v>
      </c>
      <c r="J5" s="182"/>
      <c r="K5" s="182"/>
      <c r="L5" s="182"/>
      <c r="M5" s="182"/>
      <c r="N5" s="174"/>
      <c r="O5" s="174"/>
      <c r="P5" s="175"/>
      <c r="Q5" s="175"/>
      <c r="R5" s="187" t="s">
        <v>82</v>
      </c>
      <c r="S5" s="175"/>
      <c r="T5" s="175"/>
      <c r="U5" s="175"/>
      <c r="V5" s="175"/>
      <c r="W5" s="175"/>
      <c r="X5" s="183" t="s">
        <v>83</v>
      </c>
      <c r="Y5" s="175"/>
      <c r="Z5" s="175"/>
      <c r="AA5" s="175"/>
    </row>
    <row r="6" spans="1:27" s="176" customFormat="1" ht="20.25" x14ac:dyDescent="0.3">
      <c r="A6" s="174"/>
      <c r="B6" s="184" t="s">
        <v>43</v>
      </c>
      <c r="C6" s="185" t="e">
        <f t="shared" si="0"/>
        <v>#REF!</v>
      </c>
      <c r="D6" s="186" t="e">
        <f>#REF!</f>
        <v>#REF!</v>
      </c>
      <c r="E6" s="186">
        <v>49</v>
      </c>
      <c r="F6" s="186">
        <v>41</v>
      </c>
      <c r="G6" s="186">
        <v>5.6</v>
      </c>
      <c r="H6" s="186">
        <v>5</v>
      </c>
      <c r="I6" s="186" t="e">
        <f>#REF!</f>
        <v>#REF!</v>
      </c>
      <c r="J6" s="182"/>
      <c r="K6" s="182"/>
      <c r="L6" s="182"/>
      <c r="M6" s="182"/>
      <c r="N6" s="174"/>
      <c r="O6" s="174"/>
      <c r="P6" s="175"/>
      <c r="Q6" s="175"/>
      <c r="R6" s="175"/>
      <c r="S6" s="175"/>
      <c r="T6" s="175"/>
      <c r="U6" s="175"/>
      <c r="V6" s="175"/>
      <c r="W6" s="175"/>
      <c r="X6" s="175"/>
      <c r="Y6" s="175"/>
      <c r="Z6" s="175"/>
      <c r="AA6" s="175"/>
    </row>
    <row r="7" spans="1:27" s="176" customFormat="1" ht="20.25" x14ac:dyDescent="0.3">
      <c r="A7" s="174"/>
      <c r="B7" s="184" t="s">
        <v>44</v>
      </c>
      <c r="C7" s="185" t="e">
        <f t="shared" si="0"/>
        <v>#REF!</v>
      </c>
      <c r="D7" s="186" t="e">
        <f>#REF!</f>
        <v>#REF!</v>
      </c>
      <c r="E7" s="186">
        <v>42</v>
      </c>
      <c r="F7" s="186">
        <v>36</v>
      </c>
      <c r="G7" s="186">
        <v>6.1</v>
      </c>
      <c r="H7" s="186">
        <v>5</v>
      </c>
      <c r="I7" s="186" t="e">
        <f>#REF!</f>
        <v>#REF!</v>
      </c>
      <c r="J7" s="182"/>
      <c r="K7" s="182"/>
      <c r="L7" s="182"/>
      <c r="M7" s="182"/>
      <c r="N7" s="174"/>
      <c r="O7" s="174"/>
      <c r="P7" s="175"/>
      <c r="Q7" s="175"/>
      <c r="R7" s="175"/>
      <c r="S7" s="187" t="s">
        <v>84</v>
      </c>
      <c r="T7" s="175"/>
      <c r="U7" s="175"/>
      <c r="V7" s="183" t="s">
        <v>85</v>
      </c>
      <c r="W7" s="175"/>
      <c r="X7" s="175"/>
      <c r="Y7" s="175"/>
      <c r="Z7" s="175"/>
      <c r="AA7" s="175"/>
    </row>
    <row r="8" spans="1:27" s="176" customFormat="1" ht="20.25" x14ac:dyDescent="0.3">
      <c r="A8" s="174"/>
      <c r="B8" s="184" t="s">
        <v>45</v>
      </c>
      <c r="C8" s="185" t="e">
        <f t="shared" si="0"/>
        <v>#REF!</v>
      </c>
      <c r="D8" s="186" t="e">
        <f>#REF!</f>
        <v>#REF!</v>
      </c>
      <c r="E8" s="186">
        <v>47</v>
      </c>
      <c r="F8" s="186">
        <v>40</v>
      </c>
      <c r="G8" s="186">
        <v>14.3</v>
      </c>
      <c r="H8" s="186">
        <v>5</v>
      </c>
      <c r="I8" s="186" t="e">
        <f>#REF!</f>
        <v>#REF!</v>
      </c>
      <c r="J8" s="182"/>
      <c r="K8" s="182"/>
      <c r="L8" s="182"/>
      <c r="M8" s="182"/>
      <c r="N8" s="174"/>
      <c r="O8" s="174"/>
      <c r="P8" s="175"/>
      <c r="Q8" s="175"/>
      <c r="R8" s="175"/>
      <c r="S8" s="175"/>
      <c r="T8" s="175"/>
      <c r="U8" s="175"/>
      <c r="V8" s="175"/>
      <c r="W8" s="175"/>
      <c r="X8" s="175"/>
      <c r="Y8" s="175"/>
      <c r="Z8" s="175"/>
      <c r="AA8" s="175"/>
    </row>
    <row r="9" spans="1:27" s="176" customFormat="1" ht="20.25" x14ac:dyDescent="0.3">
      <c r="A9" s="174"/>
      <c r="B9" s="184" t="s">
        <v>46</v>
      </c>
      <c r="C9" s="185" t="e">
        <f t="shared" si="0"/>
        <v>#REF!</v>
      </c>
      <c r="D9" s="186" t="e">
        <f>#REF!</f>
        <v>#REF!</v>
      </c>
      <c r="E9" s="186">
        <v>50</v>
      </c>
      <c r="F9" s="186">
        <v>41</v>
      </c>
      <c r="G9" s="186">
        <v>10.199999999999999</v>
      </c>
      <c r="H9" s="186">
        <v>5</v>
      </c>
      <c r="I9" s="186" t="e">
        <f>#REF!</f>
        <v>#REF!</v>
      </c>
      <c r="J9" s="182"/>
      <c r="K9" s="182"/>
      <c r="L9" s="182"/>
      <c r="M9" s="182"/>
      <c r="N9" s="174"/>
      <c r="O9" s="174"/>
      <c r="P9" s="175"/>
      <c r="Q9" s="175"/>
      <c r="R9" s="188" t="s">
        <v>86</v>
      </c>
      <c r="S9" s="175"/>
      <c r="T9" s="175"/>
      <c r="U9" s="175"/>
      <c r="V9" s="175"/>
      <c r="W9" s="175"/>
      <c r="X9" s="175"/>
      <c r="Y9" s="175"/>
      <c r="Z9" s="175"/>
      <c r="AA9" s="175"/>
    </row>
    <row r="10" spans="1:27" s="176" customFormat="1" ht="20.25" x14ac:dyDescent="0.3">
      <c r="A10" s="174"/>
      <c r="B10" s="184" t="s">
        <v>49</v>
      </c>
      <c r="C10" s="185" t="e">
        <f t="shared" si="0"/>
        <v>#REF!</v>
      </c>
      <c r="D10" s="186" t="e">
        <f>#REF!</f>
        <v>#REF!</v>
      </c>
      <c r="E10" s="186">
        <v>56</v>
      </c>
      <c r="F10" s="186">
        <v>46</v>
      </c>
      <c r="G10" s="186">
        <v>7</v>
      </c>
      <c r="H10" s="186">
        <v>5</v>
      </c>
      <c r="I10" s="186" t="e">
        <f>#REF!</f>
        <v>#REF!</v>
      </c>
      <c r="J10" s="182"/>
      <c r="K10" s="182"/>
      <c r="L10" s="182"/>
      <c r="M10" s="182"/>
      <c r="N10" s="174"/>
      <c r="O10" s="174"/>
      <c r="P10" s="175"/>
      <c r="Q10" s="175"/>
      <c r="R10" s="175"/>
      <c r="S10" s="175"/>
      <c r="T10" s="175"/>
      <c r="U10" s="175"/>
      <c r="V10" s="175"/>
      <c r="W10" s="175"/>
      <c r="X10" s="175"/>
      <c r="Y10" s="175"/>
      <c r="Z10" s="175"/>
      <c r="AA10" s="175"/>
    </row>
    <row r="11" spans="1:27" s="176" customFormat="1" ht="20.25" x14ac:dyDescent="0.3">
      <c r="A11" s="174"/>
      <c r="B11" s="184"/>
      <c r="C11" s="185" t="e">
        <f>SUM(C4:C10)</f>
        <v>#REF!</v>
      </c>
      <c r="D11" s="189" t="e">
        <f>ROUND((D4*I4+D5*I5+D6*I6+D7*I7+D8*I8+D9*I9+D10*I10)/I11,1)</f>
        <v>#REF!</v>
      </c>
      <c r="E11" s="189" t="e">
        <f>ROUND((E4*I4+E5*I5+E6*I6+E7*I7+E8*I8+E9*I9+E10*I10)/I11,1)</f>
        <v>#REF!</v>
      </c>
      <c r="F11" s="189" t="e">
        <f>ROUND((F4*I4+F5*I5+F6*I6+F7*I7+F8*I8+F9*I9+F10*I10)/I11,1)</f>
        <v>#REF!</v>
      </c>
      <c r="G11" s="189" t="e">
        <f>ROUND((G4*I4+G5*I5+G6*I6+G7*I7+G8*I8+G9*I9+G10*I10)/I11,1)</f>
        <v>#REF!</v>
      </c>
      <c r="H11" s="189">
        <f>AVERAGE(H4:H10)</f>
        <v>5</v>
      </c>
      <c r="I11" s="189" t="e">
        <f>SUM(I4:I10)</f>
        <v>#REF!</v>
      </c>
      <c r="J11" s="182"/>
      <c r="K11" s="182"/>
      <c r="L11" s="182"/>
      <c r="M11" s="182"/>
      <c r="N11" s="174"/>
      <c r="O11" s="174"/>
      <c r="P11" s="175"/>
      <c r="Q11" s="175"/>
      <c r="R11" s="175"/>
      <c r="S11" s="183" t="s">
        <v>87</v>
      </c>
      <c r="T11" s="187"/>
      <c r="U11" s="175"/>
      <c r="V11" s="175"/>
      <c r="W11" s="175"/>
      <c r="X11" s="175"/>
      <c r="Y11" s="175"/>
      <c r="Z11" s="175"/>
      <c r="AA11" s="175"/>
    </row>
    <row r="12" spans="1:27" s="194" customFormat="1" ht="20.25" x14ac:dyDescent="0.3">
      <c r="A12" s="182"/>
      <c r="B12" s="190"/>
      <c r="C12" s="191"/>
      <c r="D12" s="192"/>
      <c r="E12" s="192"/>
      <c r="F12" s="192"/>
      <c r="G12" s="192"/>
      <c r="H12" s="192"/>
      <c r="I12" s="192"/>
      <c r="J12" s="182"/>
      <c r="K12" s="182"/>
      <c r="L12" s="182"/>
      <c r="M12" s="182"/>
      <c r="N12" s="182"/>
      <c r="O12" s="182"/>
      <c r="P12" s="193"/>
      <c r="Q12" s="193"/>
      <c r="R12" s="193"/>
      <c r="S12" s="193"/>
      <c r="T12" s="193"/>
      <c r="U12" s="193"/>
      <c r="V12" s="193"/>
      <c r="W12" s="193"/>
      <c r="X12" s="193"/>
      <c r="Y12" s="193"/>
      <c r="Z12" s="193"/>
      <c r="AA12" s="193"/>
    </row>
    <row r="13" spans="1:27" s="199" customFormat="1" ht="15" x14ac:dyDescent="0.25">
      <c r="A13" s="195"/>
      <c r="B13" s="196" t="s">
        <v>88</v>
      </c>
      <c r="C13" s="196"/>
      <c r="D13" s="197"/>
      <c r="E13" s="180"/>
      <c r="F13" s="198"/>
      <c r="G13" s="198"/>
      <c r="H13" s="198"/>
      <c r="I13" s="198"/>
      <c r="J13" s="196"/>
      <c r="K13" s="196"/>
      <c r="L13" s="196"/>
      <c r="M13" s="196"/>
      <c r="N13" s="196"/>
      <c r="O13" s="196"/>
      <c r="P13" s="197"/>
      <c r="Q13" s="197"/>
      <c r="R13" s="197"/>
      <c r="S13" s="197"/>
      <c r="T13" s="197"/>
      <c r="U13" s="197"/>
      <c r="V13" s="197"/>
      <c r="W13" s="197"/>
      <c r="X13" s="197"/>
      <c r="Y13" s="197"/>
      <c r="Z13" s="197"/>
      <c r="AA13" s="197"/>
    </row>
    <row r="14" spans="1:27" s="194" customFormat="1" ht="8.4499999999999993" customHeight="1" x14ac:dyDescent="0.3">
      <c r="A14" s="200"/>
      <c r="B14" s="182"/>
      <c r="C14" s="182"/>
      <c r="D14" s="190"/>
      <c r="E14" s="191"/>
      <c r="F14" s="192"/>
      <c r="G14" s="192"/>
      <c r="H14" s="192"/>
      <c r="I14" s="192"/>
      <c r="J14" s="182"/>
      <c r="K14" s="182"/>
      <c r="L14" s="182"/>
      <c r="M14" s="182"/>
      <c r="N14" s="182"/>
      <c r="O14" s="182"/>
      <c r="P14" s="193"/>
      <c r="Q14" s="193"/>
      <c r="R14" s="193"/>
      <c r="S14" s="193"/>
      <c r="T14" s="193"/>
      <c r="U14" s="193"/>
      <c r="V14" s="193"/>
      <c r="W14" s="193"/>
      <c r="X14" s="193"/>
      <c r="Y14" s="193"/>
      <c r="Z14" s="193"/>
      <c r="AA14" s="193"/>
    </row>
    <row r="15" spans="1:27" s="205" customFormat="1" ht="15.75" x14ac:dyDescent="0.25">
      <c r="A15" s="200" t="s">
        <v>214</v>
      </c>
      <c r="B15" s="187"/>
      <c r="C15" s="201"/>
      <c r="D15" s="202"/>
      <c r="E15" s="203"/>
      <c r="F15" s="204"/>
      <c r="G15" s="204"/>
      <c r="H15" s="204"/>
      <c r="I15" s="204"/>
      <c r="J15" s="201"/>
      <c r="K15" s="201"/>
      <c r="L15" s="201"/>
      <c r="M15" s="201"/>
      <c r="N15" s="201"/>
      <c r="O15" s="201"/>
      <c r="P15" s="202"/>
      <c r="Q15" s="202"/>
      <c r="R15" s="202"/>
      <c r="S15" s="202"/>
      <c r="T15" s="202"/>
      <c r="U15" s="202"/>
      <c r="V15" s="202"/>
      <c r="W15" s="202"/>
      <c r="X15" s="202"/>
      <c r="Y15" s="202"/>
      <c r="Z15" s="202"/>
      <c r="AA15" s="202"/>
    </row>
    <row r="16" spans="1:27" s="205" customFormat="1" ht="9.75" customHeight="1" x14ac:dyDescent="0.25">
      <c r="A16" s="201"/>
      <c r="B16" s="187"/>
      <c r="C16" s="201"/>
      <c r="D16" s="202"/>
      <c r="E16" s="203"/>
      <c r="F16" s="204"/>
      <c r="G16" s="204"/>
      <c r="H16" s="204"/>
      <c r="I16" s="204"/>
      <c r="J16" s="201"/>
      <c r="K16" s="201"/>
      <c r="L16" s="201"/>
      <c r="M16" s="201"/>
      <c r="N16" s="201"/>
      <c r="O16" s="201"/>
      <c r="P16" s="202"/>
      <c r="Q16" s="202"/>
      <c r="R16" s="202"/>
      <c r="S16" s="521" t="s">
        <v>89</v>
      </c>
      <c r="T16" s="522" t="s">
        <v>90</v>
      </c>
      <c r="U16" s="523" t="s">
        <v>91</v>
      </c>
      <c r="V16" s="202"/>
      <c r="W16" s="202"/>
      <c r="X16" s="202"/>
      <c r="Y16" s="202"/>
      <c r="Z16" s="202"/>
      <c r="AA16" s="202"/>
    </row>
    <row r="17" spans="1:27" s="194" customFormat="1" ht="15.75" customHeight="1" x14ac:dyDescent="0.3">
      <c r="A17" s="182"/>
      <c r="B17" s="206"/>
      <c r="C17" s="206"/>
      <c r="D17" s="207"/>
      <c r="E17" s="191"/>
      <c r="F17" s="208"/>
      <c r="G17" s="209"/>
      <c r="H17" s="210"/>
      <c r="I17" s="211"/>
      <c r="J17" s="182"/>
      <c r="K17" s="182"/>
      <c r="L17" s="182"/>
      <c r="M17" s="182"/>
      <c r="N17" s="182"/>
      <c r="O17" s="182"/>
      <c r="P17" s="193"/>
      <c r="Q17" s="190"/>
      <c r="R17" s="212"/>
      <c r="S17" s="521"/>
      <c r="T17" s="521"/>
      <c r="U17" s="524"/>
      <c r="V17" s="213"/>
      <c r="W17" s="191"/>
      <c r="X17" s="214"/>
      <c r="Y17" s="193"/>
      <c r="Z17" s="193"/>
      <c r="AA17" s="193"/>
    </row>
    <row r="18" spans="1:27" s="194" customFormat="1" ht="20.25" x14ac:dyDescent="0.3">
      <c r="A18" s="200" t="s">
        <v>92</v>
      </c>
      <c r="B18" s="206"/>
      <c r="C18" s="206"/>
      <c r="D18" s="207"/>
      <c r="E18" s="191"/>
      <c r="F18" s="208"/>
      <c r="G18" s="209"/>
      <c r="H18" s="210"/>
      <c r="I18" s="211"/>
      <c r="J18" s="182"/>
      <c r="K18" s="182"/>
      <c r="L18" s="182"/>
      <c r="M18" s="182"/>
      <c r="N18" s="182"/>
      <c r="O18" s="182"/>
      <c r="P18" s="193"/>
      <c r="Q18" s="190"/>
      <c r="R18" s="212"/>
      <c r="S18" s="185">
        <v>10</v>
      </c>
      <c r="T18" s="215">
        <v>16</v>
      </c>
      <c r="U18" s="216">
        <v>7.85E-2</v>
      </c>
      <c r="V18" s="213"/>
      <c r="W18" s="191"/>
      <c r="X18" s="214"/>
      <c r="Y18" s="193"/>
      <c r="Z18" s="193"/>
      <c r="AA18" s="193"/>
    </row>
    <row r="19" spans="1:27" s="194" customFormat="1" ht="15.75" customHeight="1" x14ac:dyDescent="0.3">
      <c r="A19" s="200"/>
      <c r="B19" s="206"/>
      <c r="C19" s="206"/>
      <c r="D19" s="207"/>
      <c r="E19" s="191"/>
      <c r="F19" s="208"/>
      <c r="G19" s="209"/>
      <c r="H19" s="210"/>
      <c r="I19" s="211"/>
      <c r="J19" s="182"/>
      <c r="K19" s="182"/>
      <c r="L19" s="182"/>
      <c r="M19" s="182"/>
      <c r="N19" s="182"/>
      <c r="O19" s="182"/>
      <c r="P19" s="193"/>
      <c r="Q19" s="190"/>
      <c r="R19" s="212"/>
      <c r="S19" s="185">
        <v>15</v>
      </c>
      <c r="T19" s="215">
        <v>20</v>
      </c>
      <c r="U19" s="216">
        <v>0.1767</v>
      </c>
      <c r="V19" s="213"/>
      <c r="W19" s="191"/>
      <c r="X19" s="214"/>
      <c r="Y19" s="193"/>
      <c r="Z19" s="193"/>
      <c r="AA19" s="193"/>
    </row>
    <row r="20" spans="1:27" s="199" customFormat="1" ht="15.75" x14ac:dyDescent="0.25">
      <c r="A20" s="195"/>
      <c r="B20" s="217" t="s">
        <v>93</v>
      </c>
      <c r="C20" s="218"/>
      <c r="D20" s="180" t="s">
        <v>83</v>
      </c>
      <c r="E20" s="180"/>
      <c r="F20" s="219"/>
      <c r="G20" s="220"/>
      <c r="H20" s="195"/>
      <c r="I20" s="221"/>
      <c r="J20" s="196"/>
      <c r="K20" s="196"/>
      <c r="L20" s="196"/>
      <c r="M20" s="196"/>
      <c r="N20" s="196"/>
      <c r="O20" s="196"/>
      <c r="P20" s="197"/>
      <c r="Q20" s="190"/>
      <c r="R20" s="210"/>
      <c r="S20" s="222">
        <v>20</v>
      </c>
      <c r="T20" s="223">
        <v>26</v>
      </c>
      <c r="U20" s="216">
        <v>0.31419999999999998</v>
      </c>
      <c r="V20" s="210"/>
      <c r="W20" s="210"/>
      <c r="X20" s="214"/>
      <c r="Y20" s="197"/>
      <c r="Z20" s="197"/>
      <c r="AA20" s="197"/>
    </row>
    <row r="21" spans="1:27" s="199" customFormat="1" ht="15.75" x14ac:dyDescent="0.25">
      <c r="A21" s="195"/>
      <c r="B21" s="217"/>
      <c r="C21" s="218"/>
      <c r="D21" s="180"/>
      <c r="E21" s="180"/>
      <c r="F21" s="219"/>
      <c r="G21" s="220"/>
      <c r="H21" s="195"/>
      <c r="I21" s="221"/>
      <c r="J21" s="196"/>
      <c r="K21" s="196"/>
      <c r="L21" s="196"/>
      <c r="M21" s="196"/>
      <c r="N21" s="196"/>
      <c r="O21" s="196"/>
      <c r="P21" s="197"/>
      <c r="Q21" s="190"/>
      <c r="R21" s="210"/>
      <c r="S21" s="222">
        <v>25</v>
      </c>
      <c r="T21" s="223">
        <v>32</v>
      </c>
      <c r="U21" s="216">
        <v>0.4909</v>
      </c>
      <c r="V21" s="210"/>
      <c r="W21" s="210"/>
      <c r="X21" s="214"/>
      <c r="Y21" s="197"/>
      <c r="Z21" s="197"/>
      <c r="AA21" s="197"/>
    </row>
    <row r="22" spans="1:27" s="199" customFormat="1" ht="15.75" x14ac:dyDescent="0.25">
      <c r="A22" s="195"/>
      <c r="B22" s="217" t="s">
        <v>94</v>
      </c>
      <c r="C22" s="224" t="s">
        <v>95</v>
      </c>
      <c r="D22" s="180"/>
      <c r="E22" s="180"/>
      <c r="F22" s="219"/>
      <c r="G22" s="220"/>
      <c r="H22" s="195"/>
      <c r="I22" s="221"/>
      <c r="J22" s="196"/>
      <c r="K22" s="196"/>
      <c r="L22" s="196"/>
      <c r="M22" s="196"/>
      <c r="N22" s="196"/>
      <c r="O22" s="196"/>
      <c r="P22" s="197"/>
      <c r="Q22" s="190"/>
      <c r="R22" s="210"/>
      <c r="S22" s="222">
        <v>32</v>
      </c>
      <c r="T22" s="223">
        <v>42</v>
      </c>
      <c r="U22" s="216">
        <v>0.80420000000000003</v>
      </c>
      <c r="V22" s="210"/>
      <c r="W22" s="210"/>
      <c r="X22" s="214"/>
      <c r="Y22" s="197"/>
      <c r="Z22" s="197"/>
      <c r="AA22" s="197"/>
    </row>
    <row r="23" spans="1:27" s="194" customFormat="1" ht="17.45" customHeight="1" x14ac:dyDescent="0.3">
      <c r="A23" s="200"/>
      <c r="B23" s="211"/>
      <c r="C23" s="206"/>
      <c r="D23" s="225"/>
      <c r="E23" s="191"/>
      <c r="F23" s="208"/>
      <c r="G23" s="209"/>
      <c r="H23" s="210"/>
      <c r="I23" s="211"/>
      <c r="J23" s="182"/>
      <c r="K23" s="182"/>
      <c r="L23" s="182"/>
      <c r="M23" s="182"/>
      <c r="N23" s="182"/>
      <c r="O23" s="182"/>
      <c r="P23" s="193"/>
      <c r="Q23" s="193"/>
      <c r="R23" s="193"/>
      <c r="S23" s="184">
        <v>41</v>
      </c>
      <c r="T23" s="184">
        <v>46</v>
      </c>
      <c r="U23" s="216">
        <v>1.32</v>
      </c>
      <c r="V23" s="193"/>
      <c r="W23" s="193"/>
      <c r="X23" s="193"/>
      <c r="Y23" s="193"/>
      <c r="Z23" s="193"/>
      <c r="AA23" s="193"/>
    </row>
    <row r="24" spans="1:27" s="194" customFormat="1" ht="16.5" customHeight="1" x14ac:dyDescent="0.3">
      <c r="A24" s="183" t="s">
        <v>96</v>
      </c>
      <c r="B24" s="211"/>
      <c r="C24" s="206"/>
      <c r="D24" s="225"/>
      <c r="E24" s="191"/>
      <c r="F24" s="208"/>
      <c r="G24" s="209"/>
      <c r="H24" s="210"/>
      <c r="I24" s="211"/>
      <c r="J24" s="211"/>
      <c r="K24" s="211"/>
      <c r="L24" s="182"/>
      <c r="M24" s="182"/>
      <c r="N24" s="182"/>
      <c r="O24" s="182"/>
      <c r="P24" s="182"/>
      <c r="Q24" s="182"/>
      <c r="R24" s="193"/>
      <c r="S24" s="184">
        <v>50</v>
      </c>
      <c r="T24" s="184">
        <v>57</v>
      </c>
      <c r="U24" s="216">
        <v>1.9630000000000001</v>
      </c>
      <c r="V24" s="193"/>
      <c r="W24" s="193"/>
      <c r="X24" s="193"/>
      <c r="Y24" s="193"/>
      <c r="Z24" s="193"/>
      <c r="AA24" s="193"/>
    </row>
    <row r="25" spans="1:27" s="194" customFormat="1" ht="17.45" customHeight="1" x14ac:dyDescent="0.3">
      <c r="A25" s="200"/>
      <c r="B25" s="211"/>
      <c r="C25" s="206"/>
      <c r="D25" s="225"/>
      <c r="E25" s="191"/>
      <c r="F25" s="208"/>
      <c r="G25" s="209"/>
      <c r="H25" s="210"/>
      <c r="I25" s="211"/>
      <c r="J25" s="211"/>
      <c r="K25" s="211"/>
      <c r="L25" s="182"/>
      <c r="M25" s="182"/>
      <c r="N25" s="182"/>
      <c r="O25" s="182"/>
      <c r="P25" s="182"/>
      <c r="Q25" s="182"/>
      <c r="R25" s="193"/>
      <c r="S25" s="184">
        <v>69</v>
      </c>
      <c r="T25" s="184">
        <v>76</v>
      </c>
      <c r="U25" s="216">
        <v>3.7389999999999999</v>
      </c>
      <c r="V25" s="193"/>
      <c r="W25" s="193"/>
      <c r="X25" s="193"/>
      <c r="Y25" s="193"/>
      <c r="Z25" s="193"/>
      <c r="AA25" s="193"/>
    </row>
    <row r="26" spans="1:27" s="205" customFormat="1" ht="15.75" x14ac:dyDescent="0.25">
      <c r="A26" s="200"/>
      <c r="B26" s="525" t="s">
        <v>97</v>
      </c>
      <c r="C26" s="526"/>
      <c r="D26" s="226" t="s">
        <v>98</v>
      </c>
      <c r="E26" s="203"/>
      <c r="F26" s="227"/>
      <c r="G26" s="527" t="s">
        <v>83</v>
      </c>
      <c r="H26" s="200"/>
      <c r="I26" s="217"/>
      <c r="J26" s="217"/>
      <c r="K26" s="217"/>
      <c r="L26" s="201"/>
      <c r="M26" s="201"/>
      <c r="N26" s="201"/>
      <c r="O26" s="201"/>
      <c r="P26" s="201"/>
      <c r="Q26" s="201"/>
      <c r="R26" s="202"/>
      <c r="S26" s="184">
        <v>81</v>
      </c>
      <c r="T26" s="184">
        <v>89</v>
      </c>
      <c r="U26" s="216">
        <v>5.1529999999999996</v>
      </c>
      <c r="V26" s="202"/>
      <c r="W26" s="202"/>
      <c r="X26" s="202"/>
      <c r="Y26" s="202"/>
      <c r="Z26" s="202"/>
      <c r="AA26" s="202"/>
    </row>
    <row r="27" spans="1:27" s="205" customFormat="1" ht="15.75" x14ac:dyDescent="0.25">
      <c r="A27" s="201"/>
      <c r="B27" s="526"/>
      <c r="C27" s="526"/>
      <c r="D27" s="202" t="s">
        <v>99</v>
      </c>
      <c r="E27" s="203"/>
      <c r="F27" s="227"/>
      <c r="G27" s="527"/>
      <c r="H27" s="200"/>
      <c r="I27" s="217"/>
      <c r="J27" s="217"/>
      <c r="K27" s="217"/>
      <c r="L27" s="201"/>
      <c r="M27" s="201"/>
      <c r="N27" s="201"/>
      <c r="O27" s="201"/>
      <c r="P27" s="201"/>
      <c r="Q27" s="201"/>
      <c r="R27" s="202"/>
      <c r="S27" s="184">
        <v>90</v>
      </c>
      <c r="T27" s="184">
        <v>102</v>
      </c>
      <c r="U27" s="216">
        <v>6.3616999999999999</v>
      </c>
      <c r="V27" s="202"/>
      <c r="W27" s="202"/>
      <c r="X27" s="202"/>
      <c r="Y27" s="202"/>
      <c r="Z27" s="202"/>
      <c r="AA27" s="202"/>
    </row>
    <row r="28" spans="1:27" s="194" customFormat="1" ht="17.45" customHeight="1" x14ac:dyDescent="0.3">
      <c r="A28" s="182"/>
      <c r="B28" s="206"/>
      <c r="C28" s="206"/>
      <c r="D28" s="207"/>
      <c r="E28" s="191"/>
      <c r="F28" s="208"/>
      <c r="G28" s="208"/>
      <c r="H28" s="210"/>
      <c r="I28" s="211"/>
      <c r="J28" s="211"/>
      <c r="K28" s="211"/>
      <c r="L28" s="182"/>
      <c r="M28" s="182"/>
      <c r="N28" s="182"/>
      <c r="O28" s="182"/>
      <c r="P28" s="182"/>
      <c r="Q28" s="182"/>
      <c r="R28" s="193"/>
      <c r="S28" s="184">
        <v>100</v>
      </c>
      <c r="T28" s="184">
        <v>108</v>
      </c>
      <c r="U28" s="216">
        <v>7.8540000000000001</v>
      </c>
      <c r="V28" s="193"/>
      <c r="W28" s="193"/>
      <c r="X28" s="193"/>
      <c r="Y28" s="193"/>
      <c r="Z28" s="193"/>
      <c r="AA28" s="193"/>
    </row>
    <row r="29" spans="1:27" s="194" customFormat="1" ht="16.5" customHeight="1" thickBot="1" x14ac:dyDescent="0.35">
      <c r="A29" s="182"/>
      <c r="B29" s="228" t="s">
        <v>100</v>
      </c>
      <c r="C29" s="206"/>
      <c r="D29" s="207"/>
      <c r="E29" s="191"/>
      <c r="F29" s="208"/>
      <c r="G29" s="208"/>
      <c r="H29" s="210"/>
      <c r="I29" s="211"/>
      <c r="J29" s="211"/>
      <c r="K29" s="211"/>
      <c r="L29" s="182"/>
      <c r="M29" s="182"/>
      <c r="N29" s="182"/>
      <c r="O29" s="182"/>
      <c r="P29" s="182"/>
      <c r="Q29" s="182"/>
      <c r="R29" s="193"/>
      <c r="S29" s="184">
        <v>125</v>
      </c>
      <c r="T29" s="184">
        <v>133</v>
      </c>
      <c r="U29" s="216">
        <v>12.21</v>
      </c>
      <c r="V29" s="193"/>
      <c r="W29" s="193"/>
      <c r="X29" s="193"/>
      <c r="Y29" s="193"/>
      <c r="Z29" s="193"/>
      <c r="AA29" s="193"/>
    </row>
    <row r="30" spans="1:27" s="199" customFormat="1" ht="15.75" thickTop="1" x14ac:dyDescent="0.25">
      <c r="A30" s="195" t="s">
        <v>101</v>
      </c>
      <c r="B30" s="196"/>
      <c r="C30" s="196"/>
      <c r="D30" s="197"/>
      <c r="E30" s="180"/>
      <c r="F30" s="198"/>
      <c r="G30" s="198"/>
      <c r="H30" s="198"/>
      <c r="I30" s="198"/>
      <c r="J30" s="196"/>
      <c r="K30" s="196"/>
      <c r="L30" s="196"/>
      <c r="M30" s="196"/>
      <c r="N30" s="196"/>
      <c r="O30" s="196"/>
      <c r="P30" s="197"/>
      <c r="Q30" s="197"/>
      <c r="R30" s="197"/>
      <c r="S30" s="184">
        <v>150</v>
      </c>
      <c r="T30" s="184">
        <v>159</v>
      </c>
      <c r="U30" s="216">
        <v>17.670000000000002</v>
      </c>
      <c r="V30" s="197"/>
      <c r="W30" s="197"/>
      <c r="X30" s="197"/>
      <c r="Y30" s="197"/>
      <c r="Z30" s="197"/>
      <c r="AA30" s="197"/>
    </row>
    <row r="31" spans="1:27" s="194" customFormat="1" ht="15.75" customHeight="1" x14ac:dyDescent="0.3">
      <c r="A31" s="200"/>
      <c r="B31" s="182"/>
      <c r="C31" s="182"/>
      <c r="D31" s="190"/>
      <c r="E31" s="191"/>
      <c r="F31" s="192"/>
      <c r="G31" s="192"/>
      <c r="H31" s="192"/>
      <c r="I31" s="192"/>
      <c r="J31" s="182"/>
      <c r="K31" s="182"/>
      <c r="L31" s="182"/>
      <c r="M31" s="182"/>
      <c r="N31" s="182"/>
      <c r="O31" s="182"/>
      <c r="P31" s="193"/>
      <c r="Q31" s="193"/>
      <c r="R31" s="193"/>
      <c r="S31" s="184">
        <v>203</v>
      </c>
      <c r="T31" s="184">
        <v>219</v>
      </c>
      <c r="U31" s="216">
        <v>32.36</v>
      </c>
      <c r="V31" s="193"/>
      <c r="W31" s="193"/>
      <c r="X31" s="193"/>
      <c r="Y31" s="193"/>
      <c r="Z31" s="193"/>
      <c r="AA31" s="193"/>
    </row>
    <row r="32" spans="1:27" s="205" customFormat="1" ht="15.75" x14ac:dyDescent="0.25">
      <c r="A32" s="201"/>
      <c r="B32" s="187" t="s">
        <v>102</v>
      </c>
      <c r="C32" s="201"/>
      <c r="D32" s="202"/>
      <c r="E32" s="203"/>
      <c r="F32" s="204"/>
      <c r="G32" s="204"/>
      <c r="H32" s="204"/>
      <c r="I32" s="204"/>
      <c r="J32" s="201"/>
      <c r="K32" s="201"/>
      <c r="L32" s="201"/>
      <c r="M32" s="201"/>
      <c r="N32" s="201"/>
      <c r="O32" s="201"/>
      <c r="P32" s="202"/>
      <c r="Q32" s="202"/>
      <c r="R32" s="202"/>
      <c r="S32" s="184">
        <v>255</v>
      </c>
      <c r="T32" s="184">
        <v>273</v>
      </c>
      <c r="U32" s="216">
        <v>51.07</v>
      </c>
      <c r="V32" s="202"/>
      <c r="W32" s="202"/>
      <c r="X32" s="202"/>
      <c r="Y32" s="202"/>
      <c r="Z32" s="202"/>
      <c r="AA32" s="202"/>
    </row>
    <row r="33" spans="1:27" s="205" customFormat="1" ht="15" customHeight="1" x14ac:dyDescent="0.25">
      <c r="A33" s="201"/>
      <c r="B33" s="187"/>
      <c r="C33" s="201"/>
      <c r="D33" s="202"/>
      <c r="E33" s="203"/>
      <c r="F33" s="204"/>
      <c r="G33" s="204"/>
      <c r="H33" s="204"/>
      <c r="I33" s="204"/>
      <c r="J33" s="201"/>
      <c r="K33" s="201"/>
      <c r="L33" s="201"/>
      <c r="M33" s="201"/>
      <c r="N33" s="201"/>
      <c r="O33" s="201"/>
      <c r="P33" s="202"/>
      <c r="Q33" s="202"/>
      <c r="R33" s="202"/>
      <c r="S33" s="184">
        <v>305</v>
      </c>
      <c r="T33" s="184">
        <v>325</v>
      </c>
      <c r="U33" s="216">
        <v>73.06</v>
      </c>
      <c r="V33" s="202"/>
      <c r="W33" s="202"/>
      <c r="X33" s="202"/>
      <c r="Y33" s="202"/>
      <c r="Z33" s="202"/>
      <c r="AA33" s="202"/>
    </row>
    <row r="34" spans="1:27" s="205" customFormat="1" ht="15.75" x14ac:dyDescent="0.25">
      <c r="A34" s="201"/>
      <c r="B34" s="201" t="s">
        <v>205</v>
      </c>
      <c r="C34" s="201"/>
      <c r="D34" s="202"/>
      <c r="E34" s="203"/>
      <c r="F34" s="204"/>
      <c r="G34" s="229" t="e">
        <f>(E11+F11)/2-G11</f>
        <v>#REF!</v>
      </c>
      <c r="H34" s="187" t="s">
        <v>103</v>
      </c>
      <c r="I34" s="204"/>
      <c r="J34" s="201"/>
      <c r="K34" s="201"/>
      <c r="L34" s="201"/>
      <c r="M34" s="201"/>
      <c r="N34" s="201"/>
      <c r="O34" s="201"/>
      <c r="P34" s="202"/>
      <c r="Q34" s="202"/>
      <c r="R34" s="202"/>
      <c r="S34" s="202"/>
      <c r="T34" s="202"/>
      <c r="U34" s="202"/>
      <c r="V34" s="202"/>
      <c r="W34" s="202"/>
      <c r="X34" s="202"/>
      <c r="Y34" s="202"/>
      <c r="Z34" s="202"/>
      <c r="AA34" s="202"/>
    </row>
    <row r="35" spans="1:27" s="194" customFormat="1" ht="9" customHeight="1" x14ac:dyDescent="0.3">
      <c r="A35" s="182"/>
      <c r="B35" s="175"/>
      <c r="C35" s="175"/>
      <c r="D35" s="190"/>
      <c r="E35" s="191"/>
      <c r="F35" s="192"/>
      <c r="G35" s="192"/>
      <c r="H35" s="192"/>
      <c r="I35" s="192"/>
      <c r="J35" s="182"/>
      <c r="K35" s="182"/>
      <c r="L35" s="182"/>
      <c r="M35" s="182"/>
      <c r="N35" s="182"/>
      <c r="O35" s="182"/>
      <c r="P35" s="193"/>
      <c r="Q35" s="193"/>
      <c r="R35" s="193"/>
      <c r="S35" s="193"/>
      <c r="T35" s="193"/>
      <c r="U35" s="193"/>
      <c r="V35" s="193"/>
      <c r="W35" s="193"/>
      <c r="X35" s="193"/>
      <c r="Y35" s="193"/>
      <c r="Z35" s="193"/>
      <c r="AA35" s="193"/>
    </row>
    <row r="36" spans="1:27" s="194" customFormat="1" ht="20.25" x14ac:dyDescent="0.3">
      <c r="A36" s="200" t="s">
        <v>215</v>
      </c>
      <c r="B36" s="182"/>
      <c r="C36" s="182"/>
      <c r="D36" s="190"/>
      <c r="E36" s="191"/>
      <c r="F36" s="191"/>
      <c r="G36" s="191"/>
      <c r="H36" s="191"/>
      <c r="I36" s="191"/>
      <c r="J36" s="191"/>
      <c r="K36" s="230"/>
      <c r="L36" s="182"/>
      <c r="M36" s="182"/>
      <c r="N36" s="182"/>
      <c r="O36" s="182"/>
      <c r="P36" s="182"/>
      <c r="Q36" s="182"/>
      <c r="R36" s="193"/>
      <c r="S36" s="193"/>
      <c r="T36" s="193"/>
      <c r="U36" s="193"/>
      <c r="V36" s="193"/>
      <c r="W36" s="193"/>
      <c r="X36" s="193"/>
      <c r="Y36" s="193"/>
      <c r="Z36" s="193"/>
      <c r="AA36" s="193"/>
    </row>
    <row r="37" spans="1:27" s="194" customFormat="1" ht="20.25" x14ac:dyDescent="0.3">
      <c r="A37" s="200" t="s">
        <v>104</v>
      </c>
      <c r="B37" s="182"/>
      <c r="C37" s="182"/>
      <c r="D37" s="190"/>
      <c r="E37" s="191"/>
      <c r="F37" s="191"/>
      <c r="G37" s="191"/>
      <c r="H37" s="191"/>
      <c r="I37" s="191"/>
      <c r="J37" s="191"/>
      <c r="K37" s="230"/>
      <c r="L37" s="182"/>
      <c r="M37" s="182"/>
      <c r="N37" s="182"/>
      <c r="O37" s="182"/>
      <c r="P37" s="182"/>
      <c r="Q37" s="182"/>
      <c r="R37" s="193"/>
      <c r="S37" s="193"/>
      <c r="T37" s="193"/>
      <c r="U37" s="193"/>
      <c r="V37" s="193"/>
      <c r="W37" s="193"/>
      <c r="X37" s="193"/>
      <c r="Y37" s="193"/>
      <c r="Z37" s="193"/>
      <c r="AA37" s="193"/>
    </row>
    <row r="38" spans="1:27" s="194" customFormat="1" ht="20.25" x14ac:dyDescent="0.3">
      <c r="A38" s="200" t="s">
        <v>105</v>
      </c>
      <c r="B38" s="182"/>
      <c r="C38" s="182"/>
      <c r="D38" s="190"/>
      <c r="E38" s="191"/>
      <c r="F38" s="191"/>
      <c r="G38" s="191"/>
      <c r="H38" s="231"/>
      <c r="I38" s="225"/>
      <c r="J38" s="225"/>
      <c r="K38" s="230"/>
      <c r="L38" s="182"/>
      <c r="M38" s="182"/>
      <c r="N38" s="182"/>
      <c r="O38" s="231" t="e">
        <f>G34</f>
        <v>#REF!</v>
      </c>
      <c r="P38" s="225" t="s">
        <v>103</v>
      </c>
      <c r="Q38" s="182"/>
      <c r="R38" s="193"/>
      <c r="S38" s="193"/>
      <c r="T38" s="193"/>
      <c r="U38" s="193"/>
      <c r="V38" s="193"/>
      <c r="W38" s="193"/>
      <c r="X38" s="193"/>
      <c r="Y38" s="193"/>
      <c r="Z38" s="193"/>
      <c r="AA38" s="193"/>
    </row>
    <row r="39" spans="1:27" s="194" customFormat="1" ht="14.25" customHeight="1" x14ac:dyDescent="0.3">
      <c r="A39" s="200"/>
      <c r="B39" s="182"/>
      <c r="C39" s="182"/>
      <c r="D39" s="190"/>
      <c r="E39" s="191"/>
      <c r="F39" s="191"/>
      <c r="G39" s="191"/>
      <c r="H39" s="231"/>
      <c r="I39" s="225"/>
      <c r="J39" s="230"/>
      <c r="K39" s="182"/>
      <c r="L39" s="182"/>
      <c r="M39" s="182"/>
      <c r="N39" s="231"/>
      <c r="O39" s="225"/>
      <c r="P39" s="182"/>
      <c r="Q39" s="193"/>
      <c r="R39" s="193"/>
      <c r="S39" s="190" t="s">
        <v>106</v>
      </c>
      <c r="T39" s="193"/>
      <c r="U39" s="193"/>
      <c r="V39" s="193"/>
      <c r="W39" s="193"/>
      <c r="X39" s="193"/>
      <c r="Y39" s="193"/>
      <c r="Z39" s="193"/>
      <c r="AA39" s="193"/>
    </row>
    <row r="40" spans="1:27" s="199" customFormat="1" ht="15" x14ac:dyDescent="0.25">
      <c r="A40" s="195"/>
      <c r="B40" s="531" t="s">
        <v>177</v>
      </c>
      <c r="C40" s="532"/>
      <c r="D40" s="232" t="s">
        <v>107</v>
      </c>
      <c r="E40" s="180"/>
      <c r="F40" s="533" t="s">
        <v>108</v>
      </c>
      <c r="G40" s="232" t="s">
        <v>109</v>
      </c>
      <c r="H40" s="196" t="s">
        <v>110</v>
      </c>
      <c r="I40" s="534" t="s">
        <v>111</v>
      </c>
      <c r="J40" s="535"/>
      <c r="K40" s="196"/>
      <c r="L40" s="195" t="s">
        <v>112</v>
      </c>
      <c r="M40" s="196"/>
      <c r="N40" s="196"/>
      <c r="O40" s="196"/>
      <c r="P40" s="196"/>
      <c r="Q40" s="197"/>
      <c r="R40" s="190"/>
      <c r="S40" s="212" t="s">
        <v>113</v>
      </c>
      <c r="T40" s="191"/>
      <c r="U40" s="212"/>
      <c r="V40" s="233"/>
      <c r="W40" s="215"/>
      <c r="X40" s="184">
        <v>52.5</v>
      </c>
      <c r="Y40" s="234">
        <v>65</v>
      </c>
      <c r="Z40" s="197"/>
      <c r="AA40" s="197"/>
    </row>
    <row r="41" spans="1:27" s="199" customFormat="1" ht="15" x14ac:dyDescent="0.25">
      <c r="A41" s="196"/>
      <c r="B41" s="532"/>
      <c r="C41" s="532"/>
      <c r="D41" s="197" t="s">
        <v>114</v>
      </c>
      <c r="E41" s="180"/>
      <c r="F41" s="533"/>
      <c r="G41" s="220">
        <v>2</v>
      </c>
      <c r="H41" s="195"/>
      <c r="I41" s="535"/>
      <c r="J41" s="535"/>
      <c r="K41" s="196"/>
      <c r="L41" s="196"/>
      <c r="M41" s="196"/>
      <c r="N41" s="196"/>
      <c r="O41" s="196"/>
      <c r="P41" s="196"/>
      <c r="Q41" s="197"/>
      <c r="R41" s="190"/>
      <c r="S41" s="212"/>
      <c r="T41" s="191"/>
      <c r="U41" s="212"/>
      <c r="V41" s="233"/>
      <c r="W41" s="235">
        <v>32</v>
      </c>
      <c r="X41" s="185">
        <v>45</v>
      </c>
      <c r="Y41" s="222">
        <v>52</v>
      </c>
      <c r="Z41" s="197"/>
      <c r="AA41" s="197"/>
    </row>
    <row r="42" spans="1:27" s="194" customFormat="1" ht="12.2" customHeight="1" x14ac:dyDescent="0.3">
      <c r="A42" s="182"/>
      <c r="B42" s="206"/>
      <c r="C42" s="206"/>
      <c r="D42" s="207"/>
      <c r="E42" s="191"/>
      <c r="F42" s="208"/>
      <c r="G42" s="209"/>
      <c r="H42" s="210"/>
      <c r="I42" s="211"/>
      <c r="J42" s="182"/>
      <c r="K42" s="182"/>
      <c r="L42" s="182"/>
      <c r="M42" s="182"/>
      <c r="N42" s="182"/>
      <c r="O42" s="182"/>
      <c r="P42" s="193"/>
      <c r="Q42" s="190"/>
      <c r="R42" s="212"/>
      <c r="S42" s="191"/>
      <c r="T42" s="212"/>
      <c r="U42" s="233"/>
      <c r="V42" s="213"/>
      <c r="W42" s="184">
        <v>57</v>
      </c>
      <c r="X42" s="222">
        <v>56</v>
      </c>
      <c r="Y42" s="185">
        <v>65</v>
      </c>
      <c r="Z42" s="193"/>
      <c r="AA42" s="193"/>
    </row>
    <row r="43" spans="1:27" s="194" customFormat="1" ht="20.25" x14ac:dyDescent="0.3">
      <c r="A43" s="200" t="s">
        <v>92</v>
      </c>
      <c r="B43" s="206"/>
      <c r="C43" s="206"/>
      <c r="D43" s="207"/>
      <c r="E43" s="191"/>
      <c r="F43" s="208"/>
      <c r="G43" s="209"/>
      <c r="H43" s="210"/>
      <c r="I43" s="211"/>
      <c r="J43" s="182"/>
      <c r="K43" s="182"/>
      <c r="L43" s="182"/>
      <c r="M43" s="182"/>
      <c r="N43" s="182"/>
      <c r="O43" s="182"/>
      <c r="P43" s="193"/>
      <c r="Q43" s="190"/>
      <c r="R43" s="212"/>
      <c r="S43" s="191" t="s">
        <v>115</v>
      </c>
      <c r="T43" s="212">
        <f>(X42-X41)/(W42-W41)*(46-32)+X41</f>
        <v>51.16</v>
      </c>
      <c r="U43" s="212">
        <f>(Y42-Y41)/(W42-W41)*(46-32)+Y41</f>
        <v>59.28</v>
      </c>
      <c r="V43" s="213"/>
      <c r="W43" s="191"/>
      <c r="X43" s="214"/>
      <c r="Y43" s="193"/>
      <c r="Z43" s="193"/>
      <c r="AA43" s="193"/>
    </row>
    <row r="44" spans="1:27" s="194" customFormat="1" ht="12.2" customHeight="1" x14ac:dyDescent="0.3">
      <c r="A44" s="200"/>
      <c r="B44" s="206"/>
      <c r="C44" s="206"/>
      <c r="D44" s="207"/>
      <c r="E44" s="191"/>
      <c r="F44" s="208"/>
      <c r="G44" s="209"/>
      <c r="H44" s="210"/>
      <c r="I44" s="211"/>
      <c r="J44" s="182"/>
      <c r="K44" s="182"/>
      <c r="L44" s="182"/>
      <c r="M44" s="182"/>
      <c r="N44" s="182"/>
      <c r="O44" s="182"/>
      <c r="P44" s="193"/>
      <c r="Q44" s="190"/>
      <c r="R44" s="212"/>
      <c r="S44" s="191"/>
      <c r="T44" s="212"/>
      <c r="U44" s="233"/>
      <c r="V44" s="213"/>
      <c r="W44" s="185">
        <v>25</v>
      </c>
      <c r="X44" s="222">
        <v>42</v>
      </c>
      <c r="Y44" s="185">
        <v>48</v>
      </c>
      <c r="Z44" s="193"/>
      <c r="AA44" s="193"/>
    </row>
    <row r="45" spans="1:27" s="199" customFormat="1" ht="15.75" x14ac:dyDescent="0.25">
      <c r="A45" s="195"/>
      <c r="B45" s="217" t="s">
        <v>116</v>
      </c>
      <c r="C45" s="218"/>
      <c r="D45" s="180" t="s">
        <v>83</v>
      </c>
      <c r="E45" s="180"/>
      <c r="F45" s="219"/>
      <c r="G45" s="220"/>
      <c r="H45" s="195"/>
      <c r="I45" s="221"/>
      <c r="J45" s="196"/>
      <c r="K45" s="196"/>
      <c r="L45" s="196"/>
      <c r="M45" s="196"/>
      <c r="N45" s="196"/>
      <c r="O45" s="196"/>
      <c r="P45" s="197"/>
      <c r="Q45" s="190"/>
      <c r="R45" s="210"/>
      <c r="S45" s="210" t="s">
        <v>117</v>
      </c>
      <c r="T45" s="212">
        <f>X41-(X42-X41)/(W42-W41)*(32-25)</f>
        <v>41.92</v>
      </c>
      <c r="U45" s="212">
        <f>Y41-(Y42-Y41)/(W42-W41)*(32-25)</f>
        <v>48.36</v>
      </c>
      <c r="V45" s="210"/>
      <c r="W45" s="222">
        <v>46</v>
      </c>
      <c r="X45" s="222">
        <v>51</v>
      </c>
      <c r="Y45" s="185">
        <v>59</v>
      </c>
      <c r="Z45" s="197"/>
      <c r="AA45" s="197"/>
    </row>
    <row r="46" spans="1:27" s="194" customFormat="1" ht="20.25" x14ac:dyDescent="0.3">
      <c r="A46" s="200"/>
      <c r="B46" s="211"/>
      <c r="C46" s="206"/>
      <c r="D46" s="225"/>
      <c r="E46" s="191"/>
      <c r="F46" s="208"/>
      <c r="G46" s="209"/>
      <c r="H46" s="210"/>
      <c r="I46" s="211"/>
      <c r="J46" s="182"/>
      <c r="K46" s="182"/>
      <c r="L46" s="182"/>
      <c r="M46" s="182"/>
      <c r="N46" s="182"/>
      <c r="O46" s="182"/>
      <c r="P46" s="193"/>
      <c r="Q46" s="193"/>
      <c r="R46" s="193"/>
      <c r="S46" s="193"/>
      <c r="T46" s="193"/>
      <c r="U46" s="193"/>
      <c r="V46" s="193"/>
      <c r="W46" s="193"/>
      <c r="X46" s="193"/>
      <c r="Y46" s="193"/>
      <c r="Z46" s="193"/>
      <c r="AA46" s="193"/>
    </row>
    <row r="47" spans="1:27" s="194" customFormat="1" ht="20.25" x14ac:dyDescent="0.3">
      <c r="A47" s="183" t="s">
        <v>96</v>
      </c>
      <c r="B47" s="211"/>
      <c r="C47" s="206"/>
      <c r="D47" s="225"/>
      <c r="E47" s="191"/>
      <c r="F47" s="208"/>
      <c r="G47" s="209"/>
      <c r="H47" s="210"/>
      <c r="I47" s="211"/>
      <c r="J47" s="211"/>
      <c r="K47" s="211"/>
      <c r="L47" s="182"/>
      <c r="M47" s="182"/>
      <c r="N47" s="182"/>
      <c r="O47" s="182"/>
      <c r="P47" s="182"/>
      <c r="Q47" s="182"/>
      <c r="R47" s="193"/>
      <c r="S47" s="193"/>
      <c r="T47" s="193"/>
      <c r="U47" s="193"/>
      <c r="V47" s="193"/>
      <c r="W47" s="193"/>
      <c r="X47" s="193"/>
      <c r="Y47" s="193"/>
      <c r="Z47" s="193"/>
      <c r="AA47" s="193"/>
    </row>
    <row r="48" spans="1:27" s="194" customFormat="1" ht="10.5" customHeight="1" x14ac:dyDescent="0.3">
      <c r="A48" s="200"/>
      <c r="B48" s="211"/>
      <c r="C48" s="206"/>
      <c r="D48" s="225"/>
      <c r="E48" s="191"/>
      <c r="F48" s="208"/>
      <c r="G48" s="209"/>
      <c r="H48" s="210"/>
      <c r="I48" s="211"/>
      <c r="J48" s="211"/>
      <c r="K48" s="211"/>
      <c r="L48" s="182"/>
      <c r="M48" s="182"/>
      <c r="N48" s="182"/>
      <c r="O48" s="182"/>
      <c r="P48" s="182"/>
      <c r="Q48" s="182"/>
      <c r="R48" s="193"/>
      <c r="S48" s="193"/>
      <c r="T48" s="193"/>
      <c r="U48" s="193"/>
      <c r="V48" s="193"/>
      <c r="W48" s="193"/>
      <c r="X48" s="193"/>
      <c r="Y48" s="193"/>
      <c r="Z48" s="193"/>
      <c r="AA48" s="193"/>
    </row>
    <row r="49" spans="1:28" s="205" customFormat="1" ht="15.75" x14ac:dyDescent="0.25">
      <c r="A49" s="200"/>
      <c r="B49" s="525" t="s">
        <v>97</v>
      </c>
      <c r="C49" s="526"/>
      <c r="D49" s="226" t="s">
        <v>98</v>
      </c>
      <c r="E49" s="203"/>
      <c r="F49" s="227"/>
      <c r="G49" s="527" t="s">
        <v>83</v>
      </c>
      <c r="H49" s="200"/>
      <c r="I49" s="217"/>
      <c r="J49" s="217"/>
      <c r="K49" s="217"/>
      <c r="L49" s="201"/>
      <c r="M49" s="201"/>
      <c r="N49" s="201"/>
      <c r="O49" s="201"/>
      <c r="P49" s="201"/>
      <c r="Q49" s="201"/>
      <c r="R49" s="202"/>
      <c r="S49" s="202"/>
      <c r="T49" s="202"/>
      <c r="U49" s="202"/>
      <c r="V49" s="202"/>
      <c r="W49" s="202"/>
      <c r="X49" s="202"/>
      <c r="Y49" s="202"/>
      <c r="Z49" s="202"/>
      <c r="AA49" s="202"/>
    </row>
    <row r="50" spans="1:28" s="205" customFormat="1" ht="15.75" x14ac:dyDescent="0.25">
      <c r="A50" s="201"/>
      <c r="B50" s="526"/>
      <c r="C50" s="526"/>
      <c r="D50" s="202" t="s">
        <v>99</v>
      </c>
      <c r="E50" s="203"/>
      <c r="F50" s="227"/>
      <c r="G50" s="527"/>
      <c r="H50" s="200"/>
      <c r="I50" s="217"/>
      <c r="J50" s="217"/>
      <c r="K50" s="217"/>
      <c r="L50" s="201"/>
      <c r="M50" s="201"/>
      <c r="N50" s="201"/>
      <c r="O50" s="201"/>
      <c r="P50" s="201"/>
      <c r="Q50" s="201"/>
      <c r="R50" s="202"/>
      <c r="S50" s="202"/>
      <c r="T50" s="202"/>
      <c r="U50" s="202"/>
      <c r="V50" s="202"/>
      <c r="W50" s="202"/>
      <c r="X50" s="202"/>
      <c r="Y50" s="202"/>
      <c r="Z50" s="202"/>
      <c r="AA50" s="202"/>
    </row>
    <row r="51" spans="1:28" s="194" customFormat="1" ht="15.75" customHeight="1" x14ac:dyDescent="0.3">
      <c r="A51" s="182"/>
      <c r="B51" s="206"/>
      <c r="C51" s="206"/>
      <c r="D51" s="207"/>
      <c r="E51" s="191"/>
      <c r="F51" s="208"/>
      <c r="G51" s="208"/>
      <c r="H51" s="210"/>
      <c r="I51" s="211"/>
      <c r="J51" s="211"/>
      <c r="K51" s="211"/>
      <c r="L51" s="182"/>
      <c r="M51" s="182"/>
      <c r="N51" s="182"/>
      <c r="O51" s="182"/>
      <c r="P51" s="182"/>
      <c r="Q51" s="182"/>
      <c r="R51" s="193"/>
      <c r="S51" s="190"/>
      <c r="T51" s="190"/>
      <c r="U51" s="236"/>
      <c r="V51" s="193"/>
      <c r="W51" s="193"/>
      <c r="X51" s="193"/>
      <c r="Y51" s="193"/>
      <c r="Z51" s="193"/>
      <c r="AA51" s="193"/>
    </row>
    <row r="52" spans="1:28" s="194" customFormat="1" ht="15.75" customHeight="1" x14ac:dyDescent="0.3">
      <c r="A52" s="182"/>
      <c r="B52" s="206"/>
      <c r="C52" s="206" t="s">
        <v>40</v>
      </c>
      <c r="D52" s="225" t="s">
        <v>118</v>
      </c>
      <c r="E52" s="191"/>
      <c r="F52" s="208"/>
      <c r="G52" s="208"/>
      <c r="H52" s="210"/>
      <c r="I52" s="211"/>
      <c r="J52" s="211"/>
      <c r="K52" s="211"/>
      <c r="L52" s="182"/>
      <c r="M52" s="182"/>
      <c r="N52" s="182"/>
      <c r="O52" s="182"/>
      <c r="P52" s="182"/>
      <c r="Q52" s="182"/>
      <c r="R52" s="193"/>
      <c r="S52" s="190"/>
      <c r="T52" s="190"/>
      <c r="U52" s="236"/>
      <c r="V52" s="193"/>
      <c r="W52" s="193"/>
      <c r="X52" s="193"/>
      <c r="Y52" s="193"/>
      <c r="Z52" s="193"/>
      <c r="AA52" s="193"/>
    </row>
    <row r="53" spans="1:28" s="194" customFormat="1" ht="17.45" customHeight="1" x14ac:dyDescent="0.3">
      <c r="A53" s="182"/>
      <c r="B53" s="206"/>
      <c r="C53" s="206"/>
      <c r="D53" s="207"/>
      <c r="E53" s="191"/>
      <c r="F53" s="208"/>
      <c r="G53" s="208"/>
      <c r="H53" s="210"/>
      <c r="I53" s="211"/>
      <c r="J53" s="211"/>
      <c r="K53" s="211"/>
      <c r="L53" s="182"/>
      <c r="M53" s="182"/>
      <c r="N53" s="182"/>
      <c r="O53" s="182"/>
      <c r="P53" s="182"/>
      <c r="Q53" s="182"/>
      <c r="R53" s="193"/>
      <c r="S53" s="190"/>
      <c r="T53" s="190"/>
      <c r="U53" s="236"/>
      <c r="V53" s="193"/>
      <c r="W53" s="193"/>
      <c r="X53" s="193"/>
      <c r="Y53" s="193"/>
      <c r="Z53" s="193"/>
      <c r="AA53" s="193"/>
    </row>
    <row r="54" spans="1:28" s="238" customFormat="1" ht="14.25" customHeight="1" thickBot="1" x14ac:dyDescent="0.25">
      <c r="A54" s="190"/>
      <c r="B54" s="191"/>
      <c r="C54" s="191"/>
      <c r="D54" s="191"/>
      <c r="E54" s="191"/>
      <c r="F54" s="191"/>
      <c r="G54" s="191"/>
      <c r="H54" s="191"/>
      <c r="I54" s="191"/>
      <c r="J54" s="191"/>
      <c r="K54" s="191"/>
      <c r="L54" s="191"/>
      <c r="M54" s="237"/>
      <c r="N54" s="237"/>
      <c r="O54" s="237"/>
      <c r="P54" s="237"/>
      <c r="Q54" s="237"/>
      <c r="R54" s="237"/>
      <c r="S54" s="237"/>
      <c r="T54" s="237"/>
      <c r="U54" s="237"/>
      <c r="V54" s="237"/>
      <c r="W54" s="237"/>
      <c r="X54" s="237"/>
      <c r="Y54" s="237"/>
      <c r="Z54" s="237"/>
      <c r="AA54" s="237"/>
    </row>
    <row r="55" spans="1:28" s="242" customFormat="1" ht="38.25" customHeight="1" x14ac:dyDescent="0.2">
      <c r="A55" s="513" t="s">
        <v>119</v>
      </c>
      <c r="B55" s="513"/>
      <c r="C55" s="542" t="s">
        <v>120</v>
      </c>
      <c r="D55" s="543"/>
      <c r="E55" s="544" t="s">
        <v>121</v>
      </c>
      <c r="F55" s="545"/>
      <c r="G55" s="239" t="s">
        <v>216</v>
      </c>
      <c r="H55" s="536" t="s">
        <v>122</v>
      </c>
      <c r="I55" s="536" t="s">
        <v>123</v>
      </c>
      <c r="J55" s="513" t="s">
        <v>124</v>
      </c>
      <c r="K55" s="513" t="s">
        <v>35</v>
      </c>
      <c r="L55" s="513" t="s">
        <v>125</v>
      </c>
      <c r="M55" s="529" t="s">
        <v>41</v>
      </c>
      <c r="N55" s="530"/>
      <c r="O55" s="529" t="s">
        <v>42</v>
      </c>
      <c r="P55" s="530"/>
      <c r="Q55" s="529" t="s">
        <v>43</v>
      </c>
      <c r="R55" s="530"/>
      <c r="S55" s="529" t="s">
        <v>44</v>
      </c>
      <c r="T55" s="530"/>
      <c r="U55" s="529" t="s">
        <v>45</v>
      </c>
      <c r="V55" s="530"/>
      <c r="W55" s="529" t="s">
        <v>46</v>
      </c>
      <c r="X55" s="530"/>
      <c r="Y55" s="529" t="s">
        <v>49</v>
      </c>
      <c r="Z55" s="539"/>
      <c r="AA55" s="240" t="s">
        <v>28</v>
      </c>
      <c r="AB55" s="241"/>
    </row>
    <row r="56" spans="1:28" s="242" customFormat="1" ht="29.25" customHeight="1" x14ac:dyDescent="0.2">
      <c r="A56" s="514"/>
      <c r="B56" s="514"/>
      <c r="C56" s="513" t="s">
        <v>126</v>
      </c>
      <c r="D56" s="513" t="s">
        <v>127</v>
      </c>
      <c r="E56" s="243" t="s">
        <v>128</v>
      </c>
      <c r="F56" s="243" t="s">
        <v>129</v>
      </c>
      <c r="G56" s="244" t="s">
        <v>83</v>
      </c>
      <c r="H56" s="537"/>
      <c r="I56" s="537"/>
      <c r="J56" s="514"/>
      <c r="K56" s="514"/>
      <c r="L56" s="514"/>
      <c r="M56" s="513" t="s">
        <v>130</v>
      </c>
      <c r="N56" s="513" t="s">
        <v>131</v>
      </c>
      <c r="O56" s="513" t="s">
        <v>130</v>
      </c>
      <c r="P56" s="513" t="s">
        <v>131</v>
      </c>
      <c r="Q56" s="513" t="s">
        <v>130</v>
      </c>
      <c r="R56" s="513" t="s">
        <v>131</v>
      </c>
      <c r="S56" s="513" t="s">
        <v>130</v>
      </c>
      <c r="T56" s="513" t="s">
        <v>131</v>
      </c>
      <c r="U56" s="513" t="s">
        <v>130</v>
      </c>
      <c r="V56" s="513" t="s">
        <v>131</v>
      </c>
      <c r="W56" s="513" t="s">
        <v>130</v>
      </c>
      <c r="X56" s="513" t="s">
        <v>131</v>
      </c>
      <c r="Y56" s="513" t="s">
        <v>130</v>
      </c>
      <c r="Z56" s="540" t="s">
        <v>131</v>
      </c>
      <c r="AA56" s="245" t="s">
        <v>29</v>
      </c>
    </row>
    <row r="57" spans="1:28" s="242" customFormat="1" ht="25.5" customHeight="1" thickBot="1" x14ac:dyDescent="0.25">
      <c r="A57" s="515"/>
      <c r="B57" s="515"/>
      <c r="C57" s="515"/>
      <c r="D57" s="515"/>
      <c r="E57" s="243" t="s">
        <v>132</v>
      </c>
      <c r="F57" s="243" t="s">
        <v>133</v>
      </c>
      <c r="G57" s="246"/>
      <c r="H57" s="538"/>
      <c r="I57" s="538"/>
      <c r="J57" s="515"/>
      <c r="K57" s="515"/>
      <c r="L57" s="515"/>
      <c r="M57" s="515"/>
      <c r="N57" s="515"/>
      <c r="O57" s="515"/>
      <c r="P57" s="515"/>
      <c r="Q57" s="515"/>
      <c r="R57" s="515"/>
      <c r="S57" s="515"/>
      <c r="T57" s="515"/>
      <c r="U57" s="515"/>
      <c r="V57" s="515"/>
      <c r="W57" s="515"/>
      <c r="X57" s="515"/>
      <c r="Y57" s="515"/>
      <c r="Z57" s="541"/>
      <c r="AA57" s="247"/>
    </row>
    <row r="58" spans="1:28" s="238" customFormat="1" ht="15.75" hidden="1" x14ac:dyDescent="0.2">
      <c r="A58" s="248" t="s">
        <v>134</v>
      </c>
      <c r="B58" s="248"/>
      <c r="C58" s="248"/>
      <c r="D58" s="248"/>
      <c r="E58" s="248"/>
      <c r="F58" s="248"/>
      <c r="G58" s="248"/>
      <c r="H58" s="248"/>
      <c r="I58" s="248"/>
      <c r="J58" s="248"/>
      <c r="K58" s="248"/>
      <c r="L58" s="248"/>
      <c r="M58" s="248"/>
      <c r="N58" s="248"/>
      <c r="O58" s="237"/>
      <c r="P58" s="237"/>
      <c r="Q58" s="237"/>
      <c r="R58" s="237"/>
      <c r="S58" s="237"/>
      <c r="T58" s="237"/>
      <c r="U58" s="237"/>
      <c r="V58" s="237"/>
      <c r="W58" s="237"/>
      <c r="X58" s="237"/>
      <c r="Y58" s="237"/>
      <c r="Z58" s="237"/>
      <c r="AA58" s="249" t="s">
        <v>135</v>
      </c>
    </row>
    <row r="59" spans="1:28" s="238" customFormat="1" ht="15.75" hidden="1" x14ac:dyDescent="0.2">
      <c r="A59" s="177">
        <v>219</v>
      </c>
      <c r="B59" s="177" t="s">
        <v>136</v>
      </c>
      <c r="C59" s="177">
        <v>0</v>
      </c>
      <c r="D59" s="177">
        <v>0</v>
      </c>
      <c r="E59" s="177">
        <v>113</v>
      </c>
      <c r="F59" s="177">
        <v>130</v>
      </c>
      <c r="G59" s="177" t="e">
        <f>E59+((F59-E59)/(65-52.5))*((($E$11+$F$11)/2-$G$11)-52.5)</f>
        <v>#REF!</v>
      </c>
      <c r="H59" s="177">
        <v>1.2</v>
      </c>
      <c r="I59" s="177">
        <v>1</v>
      </c>
      <c r="J59" s="177" t="e">
        <f>H59*C59*G59*I59</f>
        <v>#REF!</v>
      </c>
      <c r="K59" s="177">
        <v>32.36</v>
      </c>
      <c r="L59" s="177">
        <f>(C59+D59)*K59*0.001</f>
        <v>0</v>
      </c>
      <c r="M59" s="177" t="e">
        <f>J59*(($E$4+$F$4-2*$G$4)/($E$11+$F$11-2*$G$11))</f>
        <v>#REF!</v>
      </c>
      <c r="N59" s="250">
        <f>0.00125*1*L59*($E$4+$F$4-2*5)*1000</f>
        <v>0</v>
      </c>
      <c r="O59" s="185" t="e">
        <f>J59*(($E$5+$F$5-2*$G$5)/($E$11+$F$11-2*$G$11))</f>
        <v>#REF!</v>
      </c>
      <c r="P59" s="185">
        <f>0.00125*1*L59*($E$5+$F$5-2*5)*1000</f>
        <v>0</v>
      </c>
      <c r="Q59" s="185" t="e">
        <f>J59*(($E$6+$F$6-2*$G$6)/($E$11+$F$11-2*$G$11))</f>
        <v>#REF!</v>
      </c>
      <c r="R59" s="185">
        <f>0.00125*1*L59*($E$6+$F$6-2*5)*1000</f>
        <v>0</v>
      </c>
      <c r="S59" s="185" t="e">
        <f>J59*(($E$7+$F$7-2*$G$7)/($E$11+$F$11-2*$G$11))</f>
        <v>#REF!</v>
      </c>
      <c r="T59" s="185">
        <f>0.00125*1*L59*($E$7+$F$7-2*5)*1000</f>
        <v>0</v>
      </c>
      <c r="U59" s="185" t="e">
        <f>J59*(($E$8+$F$8-2*$G$8)/($E$11+$F$11-2*$G$11))</f>
        <v>#REF!</v>
      </c>
      <c r="V59" s="185">
        <f>0.00125*1*L59*($E$8+$F$8-2*5)*1000</f>
        <v>0</v>
      </c>
      <c r="W59" s="185" t="e">
        <f>J59*(($E$9+$F$9-2*$G$9)/($E$11+$F$11-2*$G$11))</f>
        <v>#REF!</v>
      </c>
      <c r="X59" s="185">
        <f>0.00125*1*L59*($E$9+$F$9-2*5)*1000</f>
        <v>0</v>
      </c>
      <c r="Y59" s="185" t="e">
        <f>J59*(($E$10+$F$10-2*$G$10)/($E$11+$F$11-2*$G$11))</f>
        <v>#REF!</v>
      </c>
      <c r="Z59" s="251">
        <f>0.00125*1*L59*($E$10+$F$10-2*5)*1000</f>
        <v>0</v>
      </c>
      <c r="AA59" s="252"/>
    </row>
    <row r="60" spans="1:28" s="238" customFormat="1" ht="15.75" hidden="1" x14ac:dyDescent="0.2">
      <c r="A60" s="177">
        <v>219</v>
      </c>
      <c r="B60" s="177" t="s">
        <v>137</v>
      </c>
      <c r="C60" s="177">
        <v>0</v>
      </c>
      <c r="D60" s="177">
        <v>0</v>
      </c>
      <c r="E60" s="177">
        <v>66</v>
      </c>
      <c r="F60" s="177">
        <v>51</v>
      </c>
      <c r="G60" s="177">
        <f>E60+F60</f>
        <v>117</v>
      </c>
      <c r="H60" s="177">
        <v>1.1499999999999999</v>
      </c>
      <c r="I60" s="177">
        <v>0.7</v>
      </c>
      <c r="J60" s="177">
        <f t="shared" ref="J60:J66" si="1">H60*C60*G60*I60</f>
        <v>0</v>
      </c>
      <c r="K60" s="177">
        <v>32.36</v>
      </c>
      <c r="L60" s="177">
        <f t="shared" ref="L60:L119" si="2">(C60+D60)*K60*0.001</f>
        <v>0</v>
      </c>
      <c r="M60" s="177" t="e">
        <f t="shared" ref="M60:M66" si="3">J60*(($E$4+$F$4-2*$G$4)/($E$11+$F$11-2*$G$11))</f>
        <v>#REF!</v>
      </c>
      <c r="N60" s="250">
        <f t="shared" ref="N60:N66" si="4">0.00125*1*L60*($E$4+$F$4-2*5)*1000</f>
        <v>0</v>
      </c>
      <c r="O60" s="185" t="e">
        <f t="shared" ref="O60:O66" si="5">J60*(($E$5+$F$5-2*$G$5)/($E$11+$F$11-2*$G$11))</f>
        <v>#REF!</v>
      </c>
      <c r="P60" s="185">
        <f t="shared" ref="P60:P66" si="6">0.00125*1*L60*($E$5+$F$5-2*5)*1000</f>
        <v>0</v>
      </c>
      <c r="Q60" s="185" t="e">
        <f t="shared" ref="Q60:Q66" si="7">J60*(($E$6+$F$6-2*$G$6)/($E$11+$F$11-2*$G$11))</f>
        <v>#REF!</v>
      </c>
      <c r="R60" s="185">
        <f t="shared" ref="R60:R66" si="8">0.00125*1*L60*($E$6+$F$6-2*5)*1000</f>
        <v>0</v>
      </c>
      <c r="S60" s="185" t="e">
        <f t="shared" ref="S60:S66" si="9">J60*(($E$7+$F$7-2*$G$7)/($E$11+$F$11-2*$G$11))</f>
        <v>#REF!</v>
      </c>
      <c r="T60" s="185">
        <f t="shared" ref="T60:T66" si="10">0.00125*1*L60*($E$7+$F$7-2*5)*1000</f>
        <v>0</v>
      </c>
      <c r="U60" s="185" t="e">
        <f t="shared" ref="U60:U66" si="11">J60*(($E$8+$F$8-2*$G$8)/($E$11+$F$11-2*$G$11))</f>
        <v>#REF!</v>
      </c>
      <c r="V60" s="185">
        <f t="shared" ref="V60:V66" si="12">0.00125*1*L60*($E$8+$F$8-2*5)*1000</f>
        <v>0</v>
      </c>
      <c r="W60" s="185" t="e">
        <f t="shared" ref="W60:W66" si="13">J60*(($E$9+$F$9-2*$G$9)/($E$11+$F$11-2*$G$11))</f>
        <v>#REF!</v>
      </c>
      <c r="X60" s="185">
        <f t="shared" ref="X60:X66" si="14">0.00125*1*L60*($E$9+$F$9-2*5)*1000</f>
        <v>0</v>
      </c>
      <c r="Y60" s="185" t="e">
        <f t="shared" ref="Y60:Y66" si="15">J60*(($E$10+$F$10-2*$G$10)/($E$11+$F$11-2*$G$11))</f>
        <v>#REF!</v>
      </c>
      <c r="Z60" s="251">
        <f t="shared" ref="Z60:Z66" si="16">0.00125*1*L60*($E$10+$F$10-2*5)*1000</f>
        <v>0</v>
      </c>
      <c r="AA60" s="252"/>
    </row>
    <row r="61" spans="1:28" s="238" customFormat="1" ht="15.75" hidden="1" x14ac:dyDescent="0.2">
      <c r="A61" s="177">
        <v>159</v>
      </c>
      <c r="B61" s="177" t="s">
        <v>136</v>
      </c>
      <c r="C61" s="177">
        <v>0</v>
      </c>
      <c r="D61" s="177">
        <v>0</v>
      </c>
      <c r="E61" s="177">
        <v>94</v>
      </c>
      <c r="F61" s="177">
        <v>107</v>
      </c>
      <c r="G61" s="177" t="e">
        <f>E61+((F61-E61)/(65-52.5))*((($E$11+$F$11)/2-$G$11)-52.5)</f>
        <v>#REF!</v>
      </c>
      <c r="H61" s="177">
        <v>1.2</v>
      </c>
      <c r="I61" s="177">
        <v>1</v>
      </c>
      <c r="J61" s="177" t="e">
        <f t="shared" si="1"/>
        <v>#REF!</v>
      </c>
      <c r="K61" s="177">
        <v>17.670000000000002</v>
      </c>
      <c r="L61" s="177">
        <f t="shared" si="2"/>
        <v>0</v>
      </c>
      <c r="M61" s="177" t="e">
        <f t="shared" si="3"/>
        <v>#REF!</v>
      </c>
      <c r="N61" s="250">
        <f t="shared" si="4"/>
        <v>0</v>
      </c>
      <c r="O61" s="185" t="e">
        <f t="shared" si="5"/>
        <v>#REF!</v>
      </c>
      <c r="P61" s="185">
        <f t="shared" si="6"/>
        <v>0</v>
      </c>
      <c r="Q61" s="185" t="e">
        <f t="shared" si="7"/>
        <v>#REF!</v>
      </c>
      <c r="R61" s="185">
        <f t="shared" si="8"/>
        <v>0</v>
      </c>
      <c r="S61" s="185" t="e">
        <f t="shared" si="9"/>
        <v>#REF!</v>
      </c>
      <c r="T61" s="185">
        <f t="shared" si="10"/>
        <v>0</v>
      </c>
      <c r="U61" s="185" t="e">
        <f t="shared" si="11"/>
        <v>#REF!</v>
      </c>
      <c r="V61" s="185">
        <f t="shared" si="12"/>
        <v>0</v>
      </c>
      <c r="W61" s="185" t="e">
        <f t="shared" si="13"/>
        <v>#REF!</v>
      </c>
      <c r="X61" s="185">
        <f t="shared" si="14"/>
        <v>0</v>
      </c>
      <c r="Y61" s="185" t="e">
        <f t="shared" si="15"/>
        <v>#REF!</v>
      </c>
      <c r="Z61" s="251">
        <f t="shared" si="16"/>
        <v>0</v>
      </c>
      <c r="AA61" s="252"/>
    </row>
    <row r="62" spans="1:28" s="238" customFormat="1" ht="15.75" hidden="1" x14ac:dyDescent="0.2">
      <c r="A62" s="177">
        <v>159</v>
      </c>
      <c r="B62" s="177" t="s">
        <v>138</v>
      </c>
      <c r="C62" s="177">
        <v>0</v>
      </c>
      <c r="D62" s="177">
        <v>0</v>
      </c>
      <c r="E62" s="177">
        <v>59</v>
      </c>
      <c r="F62" s="177">
        <v>45</v>
      </c>
      <c r="G62" s="177">
        <f>E62+F62</f>
        <v>104</v>
      </c>
      <c r="H62" s="177">
        <v>1.1499999999999999</v>
      </c>
      <c r="I62" s="177">
        <v>0.6</v>
      </c>
      <c r="J62" s="177">
        <f t="shared" si="1"/>
        <v>0</v>
      </c>
      <c r="K62" s="177">
        <v>17.670000000000002</v>
      </c>
      <c r="L62" s="177">
        <f t="shared" si="2"/>
        <v>0</v>
      </c>
      <c r="M62" s="177" t="e">
        <f t="shared" si="3"/>
        <v>#REF!</v>
      </c>
      <c r="N62" s="250">
        <f t="shared" si="4"/>
        <v>0</v>
      </c>
      <c r="O62" s="185" t="e">
        <f t="shared" si="5"/>
        <v>#REF!</v>
      </c>
      <c r="P62" s="185">
        <f t="shared" si="6"/>
        <v>0</v>
      </c>
      <c r="Q62" s="185" t="e">
        <f t="shared" si="7"/>
        <v>#REF!</v>
      </c>
      <c r="R62" s="185">
        <f t="shared" si="8"/>
        <v>0</v>
      </c>
      <c r="S62" s="185" t="e">
        <f t="shared" si="9"/>
        <v>#REF!</v>
      </c>
      <c r="T62" s="185">
        <f t="shared" si="10"/>
        <v>0</v>
      </c>
      <c r="U62" s="185" t="e">
        <f t="shared" si="11"/>
        <v>#REF!</v>
      </c>
      <c r="V62" s="185">
        <f t="shared" si="12"/>
        <v>0</v>
      </c>
      <c r="W62" s="185" t="e">
        <f t="shared" si="13"/>
        <v>#REF!</v>
      </c>
      <c r="X62" s="185">
        <f t="shared" si="14"/>
        <v>0</v>
      </c>
      <c r="Y62" s="185" t="e">
        <f t="shared" si="15"/>
        <v>#REF!</v>
      </c>
      <c r="Z62" s="251">
        <f t="shared" si="16"/>
        <v>0</v>
      </c>
      <c r="AA62" s="252"/>
    </row>
    <row r="63" spans="1:28" s="238" customFormat="1" ht="15.75" hidden="1" x14ac:dyDescent="0.2">
      <c r="A63" s="177">
        <v>108</v>
      </c>
      <c r="B63" s="177" t="s">
        <v>136</v>
      </c>
      <c r="C63" s="177">
        <v>0</v>
      </c>
      <c r="D63" s="177">
        <v>0</v>
      </c>
      <c r="E63" s="177">
        <v>76</v>
      </c>
      <c r="F63" s="177">
        <v>88</v>
      </c>
      <c r="G63" s="177" t="e">
        <f>E63+((F63-E63)/(65-52.5))*((($E$11+$F$11)/2-$G$11)-52.5)</f>
        <v>#REF!</v>
      </c>
      <c r="H63" s="177">
        <v>1.2</v>
      </c>
      <c r="I63" s="177">
        <v>1</v>
      </c>
      <c r="J63" s="177" t="e">
        <f t="shared" si="1"/>
        <v>#REF!</v>
      </c>
      <c r="K63" s="177">
        <v>7.8540000000000001</v>
      </c>
      <c r="L63" s="177">
        <f t="shared" si="2"/>
        <v>0</v>
      </c>
      <c r="M63" s="177" t="e">
        <f t="shared" si="3"/>
        <v>#REF!</v>
      </c>
      <c r="N63" s="250">
        <f t="shared" si="4"/>
        <v>0</v>
      </c>
      <c r="O63" s="185" t="e">
        <f t="shared" si="5"/>
        <v>#REF!</v>
      </c>
      <c r="P63" s="185">
        <f t="shared" si="6"/>
        <v>0</v>
      </c>
      <c r="Q63" s="185" t="e">
        <f t="shared" si="7"/>
        <v>#REF!</v>
      </c>
      <c r="R63" s="185">
        <f t="shared" si="8"/>
        <v>0</v>
      </c>
      <c r="S63" s="185" t="e">
        <f t="shared" si="9"/>
        <v>#REF!</v>
      </c>
      <c r="T63" s="185">
        <f t="shared" si="10"/>
        <v>0</v>
      </c>
      <c r="U63" s="185" t="e">
        <f t="shared" si="11"/>
        <v>#REF!</v>
      </c>
      <c r="V63" s="185">
        <f t="shared" si="12"/>
        <v>0</v>
      </c>
      <c r="W63" s="185" t="e">
        <f t="shared" si="13"/>
        <v>#REF!</v>
      </c>
      <c r="X63" s="185">
        <f t="shared" si="14"/>
        <v>0</v>
      </c>
      <c r="Y63" s="185" t="e">
        <f t="shared" si="15"/>
        <v>#REF!</v>
      </c>
      <c r="Z63" s="251">
        <f t="shared" si="16"/>
        <v>0</v>
      </c>
      <c r="AA63" s="252"/>
    </row>
    <row r="64" spans="1:28" s="238" customFormat="1" ht="15.75" hidden="1" x14ac:dyDescent="0.2">
      <c r="A64" s="177">
        <v>108</v>
      </c>
      <c r="B64" s="177" t="s">
        <v>137</v>
      </c>
      <c r="C64" s="177">
        <v>0</v>
      </c>
      <c r="D64" s="177">
        <v>0</v>
      </c>
      <c r="E64" s="253">
        <v>47</v>
      </c>
      <c r="F64" s="253">
        <v>36</v>
      </c>
      <c r="G64" s="177">
        <f>SUM(E64:F64)</f>
        <v>83</v>
      </c>
      <c r="H64" s="177">
        <v>1.1499999999999999</v>
      </c>
      <c r="I64" s="177">
        <v>0.6</v>
      </c>
      <c r="J64" s="177">
        <f t="shared" si="1"/>
        <v>0</v>
      </c>
      <c r="K64" s="177">
        <v>7.8540000000000001</v>
      </c>
      <c r="L64" s="177">
        <f t="shared" si="2"/>
        <v>0</v>
      </c>
      <c r="M64" s="177" t="e">
        <f t="shared" si="3"/>
        <v>#REF!</v>
      </c>
      <c r="N64" s="250">
        <f t="shared" si="4"/>
        <v>0</v>
      </c>
      <c r="O64" s="185" t="e">
        <f t="shared" si="5"/>
        <v>#REF!</v>
      </c>
      <c r="P64" s="185">
        <f t="shared" si="6"/>
        <v>0</v>
      </c>
      <c r="Q64" s="185" t="e">
        <f t="shared" si="7"/>
        <v>#REF!</v>
      </c>
      <c r="R64" s="185">
        <f t="shared" si="8"/>
        <v>0</v>
      </c>
      <c r="S64" s="185" t="e">
        <f t="shared" si="9"/>
        <v>#REF!</v>
      </c>
      <c r="T64" s="185">
        <f t="shared" si="10"/>
        <v>0</v>
      </c>
      <c r="U64" s="185" t="e">
        <f t="shared" si="11"/>
        <v>#REF!</v>
      </c>
      <c r="V64" s="185">
        <f t="shared" si="12"/>
        <v>0</v>
      </c>
      <c r="W64" s="185" t="e">
        <f t="shared" si="13"/>
        <v>#REF!</v>
      </c>
      <c r="X64" s="185">
        <f t="shared" si="14"/>
        <v>0</v>
      </c>
      <c r="Y64" s="185" t="e">
        <f t="shared" si="15"/>
        <v>#REF!</v>
      </c>
      <c r="Z64" s="251">
        <f t="shared" si="16"/>
        <v>0</v>
      </c>
      <c r="AA64" s="252"/>
    </row>
    <row r="65" spans="1:27" s="238" customFormat="1" ht="15.75" hidden="1" x14ac:dyDescent="0.2">
      <c r="A65" s="177">
        <v>89</v>
      </c>
      <c r="B65" s="177" t="s">
        <v>136</v>
      </c>
      <c r="C65" s="177">
        <v>0</v>
      </c>
      <c r="D65" s="177">
        <v>0</v>
      </c>
      <c r="E65" s="177">
        <v>69</v>
      </c>
      <c r="F65" s="177">
        <v>80</v>
      </c>
      <c r="G65" s="177" t="e">
        <f>E65+((F65-E65)/(65-52.5))*((($E$11+$F$11)/2-$G$11)-52.5)</f>
        <v>#REF!</v>
      </c>
      <c r="H65" s="177">
        <v>1.2</v>
      </c>
      <c r="I65" s="177">
        <v>1</v>
      </c>
      <c r="J65" s="177" t="e">
        <f t="shared" si="1"/>
        <v>#REF!</v>
      </c>
      <c r="K65" s="177">
        <v>5.1529999999999996</v>
      </c>
      <c r="L65" s="177">
        <f t="shared" si="2"/>
        <v>0</v>
      </c>
      <c r="M65" s="177" t="e">
        <f t="shared" si="3"/>
        <v>#REF!</v>
      </c>
      <c r="N65" s="250">
        <f t="shared" si="4"/>
        <v>0</v>
      </c>
      <c r="O65" s="185" t="e">
        <f t="shared" si="5"/>
        <v>#REF!</v>
      </c>
      <c r="P65" s="185">
        <f t="shared" si="6"/>
        <v>0</v>
      </c>
      <c r="Q65" s="185" t="e">
        <f t="shared" si="7"/>
        <v>#REF!</v>
      </c>
      <c r="R65" s="185">
        <f t="shared" si="8"/>
        <v>0</v>
      </c>
      <c r="S65" s="185" t="e">
        <f t="shared" si="9"/>
        <v>#REF!</v>
      </c>
      <c r="T65" s="185">
        <f t="shared" si="10"/>
        <v>0</v>
      </c>
      <c r="U65" s="185" t="e">
        <f t="shared" si="11"/>
        <v>#REF!</v>
      </c>
      <c r="V65" s="185">
        <f t="shared" si="12"/>
        <v>0</v>
      </c>
      <c r="W65" s="185" t="e">
        <f t="shared" si="13"/>
        <v>#REF!</v>
      </c>
      <c r="X65" s="185">
        <f t="shared" si="14"/>
        <v>0</v>
      </c>
      <c r="Y65" s="185" t="e">
        <f t="shared" si="15"/>
        <v>#REF!</v>
      </c>
      <c r="Z65" s="251">
        <f t="shared" si="16"/>
        <v>0</v>
      </c>
      <c r="AA65" s="252"/>
    </row>
    <row r="66" spans="1:27" s="238" customFormat="1" ht="16.5" hidden="1" thickBot="1" x14ac:dyDescent="0.25">
      <c r="A66" s="253">
        <v>57</v>
      </c>
      <c r="B66" s="253" t="s">
        <v>136</v>
      </c>
      <c r="C66" s="177">
        <v>0</v>
      </c>
      <c r="D66" s="177">
        <v>0</v>
      </c>
      <c r="E66" s="253">
        <v>56</v>
      </c>
      <c r="F66" s="253">
        <v>65</v>
      </c>
      <c r="G66" s="177" t="e">
        <f>E66+((F66-E66)/(65-52.5))*((($E$11+$F$11)/2-$G$11)-52.5)</f>
        <v>#REF!</v>
      </c>
      <c r="H66" s="253">
        <v>1.2</v>
      </c>
      <c r="I66" s="253">
        <v>1</v>
      </c>
      <c r="J66" s="177" t="e">
        <f t="shared" si="1"/>
        <v>#REF!</v>
      </c>
      <c r="K66" s="253">
        <v>1.9630000000000001</v>
      </c>
      <c r="L66" s="253">
        <f t="shared" si="2"/>
        <v>0</v>
      </c>
      <c r="M66" s="177" t="e">
        <f t="shared" si="3"/>
        <v>#REF!</v>
      </c>
      <c r="N66" s="250">
        <f t="shared" si="4"/>
        <v>0</v>
      </c>
      <c r="O66" s="185" t="e">
        <f t="shared" si="5"/>
        <v>#REF!</v>
      </c>
      <c r="P66" s="185">
        <f t="shared" si="6"/>
        <v>0</v>
      </c>
      <c r="Q66" s="185" t="e">
        <f t="shared" si="7"/>
        <v>#REF!</v>
      </c>
      <c r="R66" s="185">
        <f t="shared" si="8"/>
        <v>0</v>
      </c>
      <c r="S66" s="185" t="e">
        <f t="shared" si="9"/>
        <v>#REF!</v>
      </c>
      <c r="T66" s="185">
        <f t="shared" si="10"/>
        <v>0</v>
      </c>
      <c r="U66" s="185" t="e">
        <f t="shared" si="11"/>
        <v>#REF!</v>
      </c>
      <c r="V66" s="185">
        <f t="shared" si="12"/>
        <v>0</v>
      </c>
      <c r="W66" s="185" t="e">
        <f t="shared" si="13"/>
        <v>#REF!</v>
      </c>
      <c r="X66" s="185">
        <f t="shared" si="14"/>
        <v>0</v>
      </c>
      <c r="Y66" s="185" t="e">
        <f t="shared" si="15"/>
        <v>#REF!</v>
      </c>
      <c r="Z66" s="251">
        <f t="shared" si="16"/>
        <v>0</v>
      </c>
      <c r="AA66" s="254"/>
    </row>
    <row r="67" spans="1:27" s="238" customFormat="1" ht="15.75" hidden="1" x14ac:dyDescent="0.2">
      <c r="A67" s="255" t="s">
        <v>139</v>
      </c>
      <c r="B67" s="256"/>
      <c r="C67" s="257">
        <f>SUM(C59:C66)</f>
        <v>0</v>
      </c>
      <c r="D67" s="257">
        <f>SUM(D59:D66)</f>
        <v>0</v>
      </c>
      <c r="E67" s="257"/>
      <c r="F67" s="257"/>
      <c r="G67" s="258"/>
      <c r="H67" s="257"/>
      <c r="I67" s="257"/>
      <c r="J67" s="258" t="e">
        <f>SUM(J59:J66)</f>
        <v>#REF!</v>
      </c>
      <c r="K67" s="257"/>
      <c r="L67" s="258"/>
      <c r="M67" s="258" t="e">
        <f t="shared" ref="M67:Z67" si="17">SUM(M59:M66)</f>
        <v>#REF!</v>
      </c>
      <c r="N67" s="259">
        <f t="shared" si="17"/>
        <v>0</v>
      </c>
      <c r="O67" s="260" t="e">
        <f t="shared" si="17"/>
        <v>#REF!</v>
      </c>
      <c r="P67" s="260">
        <f t="shared" si="17"/>
        <v>0</v>
      </c>
      <c r="Q67" s="260" t="e">
        <f t="shared" si="17"/>
        <v>#REF!</v>
      </c>
      <c r="R67" s="260">
        <f t="shared" si="17"/>
        <v>0</v>
      </c>
      <c r="S67" s="260" t="e">
        <f t="shared" si="17"/>
        <v>#REF!</v>
      </c>
      <c r="T67" s="260">
        <f t="shared" si="17"/>
        <v>0</v>
      </c>
      <c r="U67" s="260" t="e">
        <f t="shared" si="17"/>
        <v>#REF!</v>
      </c>
      <c r="V67" s="260">
        <f t="shared" si="17"/>
        <v>0</v>
      </c>
      <c r="W67" s="260" t="e">
        <f t="shared" si="17"/>
        <v>#REF!</v>
      </c>
      <c r="X67" s="260">
        <f t="shared" si="17"/>
        <v>0</v>
      </c>
      <c r="Y67" s="260" t="e">
        <f t="shared" si="17"/>
        <v>#REF!</v>
      </c>
      <c r="Z67" s="261">
        <f t="shared" si="17"/>
        <v>0</v>
      </c>
      <c r="AA67" s="262"/>
    </row>
    <row r="68" spans="1:27" s="238" customFormat="1" ht="16.5" hidden="1" thickBot="1" x14ac:dyDescent="0.25">
      <c r="A68" s="263"/>
      <c r="B68" s="264" t="s">
        <v>140</v>
      </c>
      <c r="C68" s="265">
        <f>C60+C62+C64</f>
        <v>0</v>
      </c>
      <c r="D68" s="265">
        <f>D60+D62+D64</f>
        <v>0</v>
      </c>
      <c r="E68" s="265"/>
      <c r="F68" s="265"/>
      <c r="G68" s="266"/>
      <c r="H68" s="265"/>
      <c r="I68" s="265"/>
      <c r="J68" s="266"/>
      <c r="K68" s="265"/>
      <c r="L68" s="266"/>
      <c r="M68" s="266"/>
      <c r="N68" s="267" t="e">
        <f>ROUND(((M67+N67)*31*24*0.000001),2)</f>
        <v>#REF!</v>
      </c>
      <c r="O68" s="267"/>
      <c r="P68" s="267" t="e">
        <f>ROUND(((O67+P67)*28*24*0.000001),2)</f>
        <v>#REF!</v>
      </c>
      <c r="Q68" s="267"/>
      <c r="R68" s="267" t="e">
        <f>ROUND(((Q67+R67)*31*24*0.000001),2)</f>
        <v>#REF!</v>
      </c>
      <c r="S68" s="267"/>
      <c r="T68" s="267" t="e">
        <f>ROUND(((S67+T67)*13*24*0.000001),2)</f>
        <v>#REF!</v>
      </c>
      <c r="U68" s="267"/>
      <c r="V68" s="267" t="e">
        <f>ROUND(((U67+V67)*17*24*0.000001),2)</f>
        <v>#REF!</v>
      </c>
      <c r="W68" s="267"/>
      <c r="X68" s="267" t="e">
        <f>ROUND(((W67+X67)*30*24*0.000001),2)</f>
        <v>#REF!</v>
      </c>
      <c r="Y68" s="267"/>
      <c r="Z68" s="267" t="e">
        <f>ROUND(((Y67+Z67)*31*24*0.000001),2)</f>
        <v>#REF!</v>
      </c>
      <c r="AA68" s="268" t="e">
        <f>N68+P68+R68+T68+V68+X68+Z68</f>
        <v>#REF!</v>
      </c>
    </row>
    <row r="69" spans="1:27" s="238" customFormat="1" ht="15.75" hidden="1" x14ac:dyDescent="0.2">
      <c r="A69" s="269" t="s">
        <v>141</v>
      </c>
      <c r="B69" s="270"/>
      <c r="C69" s="270"/>
      <c r="D69" s="270"/>
      <c r="E69" s="270"/>
      <c r="F69" s="270"/>
      <c r="G69" s="271"/>
      <c r="H69" s="270"/>
      <c r="I69" s="270"/>
      <c r="J69" s="271"/>
      <c r="K69" s="270"/>
      <c r="L69" s="271"/>
      <c r="M69" s="271"/>
      <c r="N69" s="272"/>
      <c r="O69" s="273"/>
      <c r="P69" s="273"/>
      <c r="Q69" s="273"/>
      <c r="R69" s="273"/>
      <c r="S69" s="273"/>
      <c r="T69" s="273"/>
      <c r="U69" s="273"/>
      <c r="V69" s="273"/>
      <c r="W69" s="273"/>
      <c r="X69" s="273"/>
      <c r="Y69" s="273"/>
      <c r="Z69" s="274"/>
      <c r="AA69" s="275" t="s">
        <v>142</v>
      </c>
    </row>
    <row r="70" spans="1:27" s="238" customFormat="1" ht="15.75" hidden="1" x14ac:dyDescent="0.2">
      <c r="A70" s="177">
        <v>273</v>
      </c>
      <c r="B70" s="177" t="s">
        <v>143</v>
      </c>
      <c r="C70" s="177">
        <v>0</v>
      </c>
      <c r="D70" s="177">
        <v>0</v>
      </c>
      <c r="E70" s="177">
        <v>46</v>
      </c>
      <c r="F70" s="177">
        <v>30</v>
      </c>
      <c r="G70" s="177">
        <f>SUM(E70:F70)</f>
        <v>76</v>
      </c>
      <c r="H70" s="177">
        <v>1.2</v>
      </c>
      <c r="I70" s="177">
        <v>1</v>
      </c>
      <c r="J70" s="177">
        <f>H70*C70*G70*I70</f>
        <v>0</v>
      </c>
      <c r="K70" s="177">
        <v>51.07</v>
      </c>
      <c r="L70" s="177">
        <f t="shared" si="2"/>
        <v>0</v>
      </c>
      <c r="M70" s="177" t="e">
        <f t="shared" ref="M70:M82" si="18">J70*(($E$4+$F$4-2*$G$4)/($E$11+$F$11-2*$G$11))</f>
        <v>#REF!</v>
      </c>
      <c r="N70" s="250">
        <f t="shared" ref="N70:N82" si="19">0.00125*1*L70*($E$4+$F$4-2*5)*1000</f>
        <v>0</v>
      </c>
      <c r="O70" s="185" t="e">
        <f t="shared" ref="O70:O82" si="20">J70*(($E$5+$F$5-2*$G$5)/($E$11+$F$11-2*$G$11))</f>
        <v>#REF!</v>
      </c>
      <c r="P70" s="185">
        <f t="shared" ref="P70:P82" si="21">0.00125*1*L70*($E$5+$F$5-2*5)*1000</f>
        <v>0</v>
      </c>
      <c r="Q70" s="185" t="e">
        <f>J70*(($E$6+$F$6-2*$G$6)/($E$11+$F$11-2*$G$11))</f>
        <v>#REF!</v>
      </c>
      <c r="R70" s="185">
        <f>0.00125*1*L70*($E$6+$F$6-2*5)*1000</f>
        <v>0</v>
      </c>
      <c r="S70" s="185" t="e">
        <f>J70*(($E$7+$F$7-2*$G$7)/($E$11+$F$11-2*$G$11))</f>
        <v>#REF!</v>
      </c>
      <c r="T70" s="185">
        <f>0.00125*1*L70*($E$7+$F$7-2*5)*1000</f>
        <v>0</v>
      </c>
      <c r="U70" s="185" t="e">
        <f>J70*(($E$8+$F$8-2*$G$8)/($E$11+$F$11-2*$G$11))</f>
        <v>#REF!</v>
      </c>
      <c r="V70" s="185">
        <f>0.00125*1*L70*($E$8+$F$8-2*5)*1000</f>
        <v>0</v>
      </c>
      <c r="W70" s="185" t="e">
        <f>J70*(($E$9+$F$9-2*$G$9)/($E$11+$F$11-2*$G$11))</f>
        <v>#REF!</v>
      </c>
      <c r="X70" s="185">
        <f>0.00125*1*L70*($E$9+$F$9-2*5)*1000</f>
        <v>0</v>
      </c>
      <c r="Y70" s="185" t="e">
        <f>J70*(($E$10+$F$10-2*$G$10)/($E$11+$F$11-2*$G$11))</f>
        <v>#REF!</v>
      </c>
      <c r="Z70" s="251">
        <f>0.00125*1*L70*($E$10+$F$10-2*5)*1000</f>
        <v>0</v>
      </c>
      <c r="AA70" s="252"/>
    </row>
    <row r="71" spans="1:27" s="238" customFormat="1" ht="15.75" hidden="1" x14ac:dyDescent="0.2">
      <c r="A71" s="177">
        <v>273</v>
      </c>
      <c r="B71" s="177" t="s">
        <v>137</v>
      </c>
      <c r="C71" s="177">
        <v>0</v>
      </c>
      <c r="D71" s="177">
        <v>0</v>
      </c>
      <c r="E71" s="177">
        <v>71</v>
      </c>
      <c r="F71" s="177">
        <v>54</v>
      </c>
      <c r="G71" s="177">
        <f t="shared" ref="G71:G82" si="22">SUM(E71:F71)</f>
        <v>125</v>
      </c>
      <c r="H71" s="177">
        <v>1.1499999999999999</v>
      </c>
      <c r="I71" s="177">
        <v>0.7</v>
      </c>
      <c r="J71" s="177">
        <f t="shared" ref="J71:J82" si="23">H71*C71*G71*I71</f>
        <v>0</v>
      </c>
      <c r="K71" s="177">
        <v>51.07</v>
      </c>
      <c r="L71" s="177">
        <f t="shared" si="2"/>
        <v>0</v>
      </c>
      <c r="M71" s="177" t="e">
        <f t="shared" si="18"/>
        <v>#REF!</v>
      </c>
      <c r="N71" s="250">
        <f t="shared" si="19"/>
        <v>0</v>
      </c>
      <c r="O71" s="185" t="e">
        <f t="shared" si="20"/>
        <v>#REF!</v>
      </c>
      <c r="P71" s="185">
        <f t="shared" si="21"/>
        <v>0</v>
      </c>
      <c r="Q71" s="185" t="e">
        <f t="shared" ref="Q71:Q82" si="24">J71*(($E$6+$F$6-2*$G$6)/($E$11+$F$11-2*$G$11))</f>
        <v>#REF!</v>
      </c>
      <c r="R71" s="185">
        <f t="shared" ref="R71:R82" si="25">0.00125*1*L71*($E$6+$F$6-2*5)*1000</f>
        <v>0</v>
      </c>
      <c r="S71" s="185" t="e">
        <f t="shared" ref="S71:S82" si="26">J71*(($E$7+$F$7-2*$G$7)/($E$11+$F$11-2*$G$11))</f>
        <v>#REF!</v>
      </c>
      <c r="T71" s="185">
        <f t="shared" ref="T71:T82" si="27">0.00125*1*L71*($E$7+$F$7-2*5)*1000</f>
        <v>0</v>
      </c>
      <c r="U71" s="185" t="e">
        <f t="shared" ref="U71:U82" si="28">J71*(($E$8+$F$8-2*$G$8)/($E$11+$F$11-2*$G$11))</f>
        <v>#REF!</v>
      </c>
      <c r="V71" s="185">
        <f t="shared" ref="V71:V82" si="29">0.00125*1*L71*($E$8+$F$8-2*5)*1000</f>
        <v>0</v>
      </c>
      <c r="W71" s="185" t="e">
        <f t="shared" ref="W71:W82" si="30">J71*(($E$9+$F$9-2*$G$9)/($E$11+$F$11-2*$G$11))</f>
        <v>#REF!</v>
      </c>
      <c r="X71" s="185">
        <f t="shared" ref="X71:X82" si="31">0.00125*1*L71*($E$9+$F$9-2*5)*1000</f>
        <v>0</v>
      </c>
      <c r="Y71" s="185" t="e">
        <f t="shared" ref="Y71:Y82" si="32">J71*(($E$10+$F$10-2*$G$10)/($E$11+$F$11-2*$G$11))</f>
        <v>#REF!</v>
      </c>
      <c r="Z71" s="251">
        <f t="shared" ref="Z71:Z82" si="33">0.00125*1*L71*($E$10+$F$10-2*5)*1000</f>
        <v>0</v>
      </c>
      <c r="AA71" s="252"/>
    </row>
    <row r="72" spans="1:27" s="238" customFormat="1" ht="15.75" hidden="1" x14ac:dyDescent="0.2">
      <c r="A72" s="177">
        <v>219</v>
      </c>
      <c r="B72" s="177" t="s">
        <v>143</v>
      </c>
      <c r="C72" s="177">
        <v>0</v>
      </c>
      <c r="D72" s="177">
        <v>0</v>
      </c>
      <c r="E72" s="177">
        <v>41</v>
      </c>
      <c r="F72" s="177">
        <v>27</v>
      </c>
      <c r="G72" s="177">
        <f t="shared" si="22"/>
        <v>68</v>
      </c>
      <c r="H72" s="177">
        <v>1.2</v>
      </c>
      <c r="I72" s="177">
        <v>1</v>
      </c>
      <c r="J72" s="177">
        <f t="shared" si="23"/>
        <v>0</v>
      </c>
      <c r="K72" s="177">
        <v>32.36</v>
      </c>
      <c r="L72" s="177">
        <f t="shared" si="2"/>
        <v>0</v>
      </c>
      <c r="M72" s="177" t="e">
        <f t="shared" si="18"/>
        <v>#REF!</v>
      </c>
      <c r="N72" s="250">
        <f t="shared" si="19"/>
        <v>0</v>
      </c>
      <c r="O72" s="185" t="e">
        <f t="shared" si="20"/>
        <v>#REF!</v>
      </c>
      <c r="P72" s="185">
        <f t="shared" si="21"/>
        <v>0</v>
      </c>
      <c r="Q72" s="185" t="e">
        <f t="shared" si="24"/>
        <v>#REF!</v>
      </c>
      <c r="R72" s="185">
        <f t="shared" si="25"/>
        <v>0</v>
      </c>
      <c r="S72" s="185" t="e">
        <f t="shared" si="26"/>
        <v>#REF!</v>
      </c>
      <c r="T72" s="185">
        <f t="shared" si="27"/>
        <v>0</v>
      </c>
      <c r="U72" s="185" t="e">
        <f t="shared" si="28"/>
        <v>#REF!</v>
      </c>
      <c r="V72" s="185">
        <f t="shared" si="29"/>
        <v>0</v>
      </c>
      <c r="W72" s="185" t="e">
        <f t="shared" si="30"/>
        <v>#REF!</v>
      </c>
      <c r="X72" s="185">
        <f t="shared" si="31"/>
        <v>0</v>
      </c>
      <c r="Y72" s="185" t="e">
        <f t="shared" si="32"/>
        <v>#REF!</v>
      </c>
      <c r="Z72" s="251">
        <f t="shared" si="33"/>
        <v>0</v>
      </c>
      <c r="AA72" s="252"/>
    </row>
    <row r="73" spans="1:27" s="238" customFormat="1" ht="15.75" hidden="1" x14ac:dyDescent="0.2">
      <c r="A73" s="177">
        <v>219</v>
      </c>
      <c r="B73" s="177" t="s">
        <v>137</v>
      </c>
      <c r="C73" s="177">
        <v>0</v>
      </c>
      <c r="D73" s="177">
        <v>0</v>
      </c>
      <c r="E73" s="177">
        <v>66</v>
      </c>
      <c r="F73" s="177">
        <v>51</v>
      </c>
      <c r="G73" s="177">
        <f t="shared" si="22"/>
        <v>117</v>
      </c>
      <c r="H73" s="177">
        <v>1.1499999999999999</v>
      </c>
      <c r="I73" s="177">
        <v>0.7</v>
      </c>
      <c r="J73" s="177">
        <f t="shared" si="23"/>
        <v>0</v>
      </c>
      <c r="K73" s="177">
        <v>32.36</v>
      </c>
      <c r="L73" s="177">
        <f t="shared" si="2"/>
        <v>0</v>
      </c>
      <c r="M73" s="177" t="e">
        <f t="shared" si="18"/>
        <v>#REF!</v>
      </c>
      <c r="N73" s="250">
        <f t="shared" si="19"/>
        <v>0</v>
      </c>
      <c r="O73" s="185" t="e">
        <f t="shared" si="20"/>
        <v>#REF!</v>
      </c>
      <c r="P73" s="185">
        <f t="shared" si="21"/>
        <v>0</v>
      </c>
      <c r="Q73" s="185" t="e">
        <f t="shared" si="24"/>
        <v>#REF!</v>
      </c>
      <c r="R73" s="185">
        <f t="shared" si="25"/>
        <v>0</v>
      </c>
      <c r="S73" s="185" t="e">
        <f t="shared" si="26"/>
        <v>#REF!</v>
      </c>
      <c r="T73" s="185">
        <f t="shared" si="27"/>
        <v>0</v>
      </c>
      <c r="U73" s="185" t="e">
        <f t="shared" si="28"/>
        <v>#REF!</v>
      </c>
      <c r="V73" s="185">
        <f t="shared" si="29"/>
        <v>0</v>
      </c>
      <c r="W73" s="185" t="e">
        <f t="shared" si="30"/>
        <v>#REF!</v>
      </c>
      <c r="X73" s="185">
        <f t="shared" si="31"/>
        <v>0</v>
      </c>
      <c r="Y73" s="185" t="e">
        <f t="shared" si="32"/>
        <v>#REF!</v>
      </c>
      <c r="Z73" s="251">
        <f t="shared" si="33"/>
        <v>0</v>
      </c>
      <c r="AA73" s="252"/>
    </row>
    <row r="74" spans="1:27" s="238" customFormat="1" ht="15.75" hidden="1" x14ac:dyDescent="0.2">
      <c r="A74" s="177">
        <v>159</v>
      </c>
      <c r="B74" s="177" t="s">
        <v>136</v>
      </c>
      <c r="C74" s="177">
        <v>0</v>
      </c>
      <c r="D74" s="177">
        <v>0</v>
      </c>
      <c r="E74" s="177">
        <v>33</v>
      </c>
      <c r="F74" s="177">
        <v>22</v>
      </c>
      <c r="G74" s="177">
        <f t="shared" si="22"/>
        <v>55</v>
      </c>
      <c r="H74" s="177">
        <v>1.2</v>
      </c>
      <c r="I74" s="177">
        <v>1</v>
      </c>
      <c r="J74" s="177">
        <f t="shared" si="23"/>
        <v>0</v>
      </c>
      <c r="K74" s="177">
        <v>17.670000000000002</v>
      </c>
      <c r="L74" s="177">
        <f t="shared" si="2"/>
        <v>0</v>
      </c>
      <c r="M74" s="177" t="e">
        <f t="shared" si="18"/>
        <v>#REF!</v>
      </c>
      <c r="N74" s="250">
        <f t="shared" si="19"/>
        <v>0</v>
      </c>
      <c r="O74" s="185" t="e">
        <f t="shared" si="20"/>
        <v>#REF!</v>
      </c>
      <c r="P74" s="185">
        <f t="shared" si="21"/>
        <v>0</v>
      </c>
      <c r="Q74" s="185" t="e">
        <f t="shared" si="24"/>
        <v>#REF!</v>
      </c>
      <c r="R74" s="185">
        <f t="shared" si="25"/>
        <v>0</v>
      </c>
      <c r="S74" s="185" t="e">
        <f t="shared" si="26"/>
        <v>#REF!</v>
      </c>
      <c r="T74" s="185">
        <f t="shared" si="27"/>
        <v>0</v>
      </c>
      <c r="U74" s="185" t="e">
        <f t="shared" si="28"/>
        <v>#REF!</v>
      </c>
      <c r="V74" s="185">
        <f t="shared" si="29"/>
        <v>0</v>
      </c>
      <c r="W74" s="185" t="e">
        <f t="shared" si="30"/>
        <v>#REF!</v>
      </c>
      <c r="X74" s="185">
        <f t="shared" si="31"/>
        <v>0</v>
      </c>
      <c r="Y74" s="185" t="e">
        <f t="shared" si="32"/>
        <v>#REF!</v>
      </c>
      <c r="Z74" s="251">
        <f t="shared" si="33"/>
        <v>0</v>
      </c>
      <c r="AA74" s="252"/>
    </row>
    <row r="75" spans="1:27" s="238" customFormat="1" ht="15.75" hidden="1" x14ac:dyDescent="0.2">
      <c r="A75" s="177">
        <v>159</v>
      </c>
      <c r="B75" s="177" t="s">
        <v>136</v>
      </c>
      <c r="C75" s="177">
        <v>0</v>
      </c>
      <c r="D75" s="177">
        <v>0</v>
      </c>
      <c r="E75" s="177">
        <v>94</v>
      </c>
      <c r="F75" s="177">
        <v>107</v>
      </c>
      <c r="G75" s="177" t="e">
        <f>E75+((F75-E75)/(65-52.5))*((($E$11+$F$11)/2-$G$11)-52.5)</f>
        <v>#REF!</v>
      </c>
      <c r="H75" s="177">
        <v>1.2</v>
      </c>
      <c r="I75" s="177">
        <v>1</v>
      </c>
      <c r="J75" s="177" t="e">
        <f t="shared" si="23"/>
        <v>#REF!</v>
      </c>
      <c r="K75" s="177">
        <v>17.670000000000002</v>
      </c>
      <c r="L75" s="177">
        <f t="shared" si="2"/>
        <v>0</v>
      </c>
      <c r="M75" s="177" t="e">
        <f t="shared" si="18"/>
        <v>#REF!</v>
      </c>
      <c r="N75" s="250">
        <f t="shared" si="19"/>
        <v>0</v>
      </c>
      <c r="O75" s="185" t="e">
        <f t="shared" si="20"/>
        <v>#REF!</v>
      </c>
      <c r="P75" s="185">
        <f t="shared" si="21"/>
        <v>0</v>
      </c>
      <c r="Q75" s="185" t="e">
        <f t="shared" si="24"/>
        <v>#REF!</v>
      </c>
      <c r="R75" s="185">
        <f t="shared" si="25"/>
        <v>0</v>
      </c>
      <c r="S75" s="185" t="e">
        <f t="shared" si="26"/>
        <v>#REF!</v>
      </c>
      <c r="T75" s="185">
        <f t="shared" si="27"/>
        <v>0</v>
      </c>
      <c r="U75" s="185" t="e">
        <f t="shared" si="28"/>
        <v>#REF!</v>
      </c>
      <c r="V75" s="185">
        <f t="shared" si="29"/>
        <v>0</v>
      </c>
      <c r="W75" s="185" t="e">
        <f t="shared" si="30"/>
        <v>#REF!</v>
      </c>
      <c r="X75" s="185">
        <f t="shared" si="31"/>
        <v>0</v>
      </c>
      <c r="Y75" s="185" t="e">
        <f t="shared" si="32"/>
        <v>#REF!</v>
      </c>
      <c r="Z75" s="251">
        <f t="shared" si="33"/>
        <v>0</v>
      </c>
      <c r="AA75" s="252"/>
    </row>
    <row r="76" spans="1:27" s="238" customFormat="1" ht="15.75" hidden="1" x14ac:dyDescent="0.2">
      <c r="A76" s="177">
        <v>159</v>
      </c>
      <c r="B76" s="177" t="s">
        <v>137</v>
      </c>
      <c r="C76" s="177">
        <v>0</v>
      </c>
      <c r="D76" s="177">
        <v>0</v>
      </c>
      <c r="E76" s="177">
        <v>59</v>
      </c>
      <c r="F76" s="177">
        <v>45</v>
      </c>
      <c r="G76" s="177">
        <f t="shared" si="22"/>
        <v>104</v>
      </c>
      <c r="H76" s="177">
        <v>1.1499999999999999</v>
      </c>
      <c r="I76" s="177">
        <v>0.6</v>
      </c>
      <c r="J76" s="177">
        <f t="shared" si="23"/>
        <v>0</v>
      </c>
      <c r="K76" s="177">
        <v>17.670000000000002</v>
      </c>
      <c r="L76" s="177">
        <f t="shared" si="2"/>
        <v>0</v>
      </c>
      <c r="M76" s="177" t="e">
        <f t="shared" si="18"/>
        <v>#REF!</v>
      </c>
      <c r="N76" s="250">
        <f t="shared" si="19"/>
        <v>0</v>
      </c>
      <c r="O76" s="185" t="e">
        <f t="shared" si="20"/>
        <v>#REF!</v>
      </c>
      <c r="P76" s="185">
        <f t="shared" si="21"/>
        <v>0</v>
      </c>
      <c r="Q76" s="185" t="e">
        <f t="shared" si="24"/>
        <v>#REF!</v>
      </c>
      <c r="R76" s="185">
        <f t="shared" si="25"/>
        <v>0</v>
      </c>
      <c r="S76" s="185" t="e">
        <f t="shared" si="26"/>
        <v>#REF!</v>
      </c>
      <c r="T76" s="185">
        <f t="shared" si="27"/>
        <v>0</v>
      </c>
      <c r="U76" s="185" t="e">
        <f t="shared" si="28"/>
        <v>#REF!</v>
      </c>
      <c r="V76" s="185">
        <f t="shared" si="29"/>
        <v>0</v>
      </c>
      <c r="W76" s="185" t="e">
        <f t="shared" si="30"/>
        <v>#REF!</v>
      </c>
      <c r="X76" s="185">
        <f t="shared" si="31"/>
        <v>0</v>
      </c>
      <c r="Y76" s="185" t="e">
        <f t="shared" si="32"/>
        <v>#REF!</v>
      </c>
      <c r="Z76" s="251">
        <f t="shared" si="33"/>
        <v>0</v>
      </c>
      <c r="AA76" s="252"/>
    </row>
    <row r="77" spans="1:27" s="238" customFormat="1" ht="15.75" hidden="1" x14ac:dyDescent="0.2">
      <c r="A77" s="177">
        <v>133</v>
      </c>
      <c r="B77" s="177" t="s">
        <v>137</v>
      </c>
      <c r="C77" s="177">
        <v>0</v>
      </c>
      <c r="D77" s="177">
        <v>0</v>
      </c>
      <c r="E77" s="177">
        <v>53</v>
      </c>
      <c r="F77" s="177">
        <v>40</v>
      </c>
      <c r="G77" s="177">
        <f t="shared" si="22"/>
        <v>93</v>
      </c>
      <c r="H77" s="177">
        <v>1.1499999999999999</v>
      </c>
      <c r="I77" s="177">
        <v>0.6</v>
      </c>
      <c r="J77" s="177">
        <f t="shared" si="23"/>
        <v>0</v>
      </c>
      <c r="K77" s="177">
        <v>12.21</v>
      </c>
      <c r="L77" s="177">
        <f t="shared" si="2"/>
        <v>0</v>
      </c>
      <c r="M77" s="177" t="e">
        <f t="shared" si="18"/>
        <v>#REF!</v>
      </c>
      <c r="N77" s="250">
        <f t="shared" si="19"/>
        <v>0</v>
      </c>
      <c r="O77" s="185" t="e">
        <f t="shared" si="20"/>
        <v>#REF!</v>
      </c>
      <c r="P77" s="185">
        <f t="shared" si="21"/>
        <v>0</v>
      </c>
      <c r="Q77" s="185" t="e">
        <f t="shared" si="24"/>
        <v>#REF!</v>
      </c>
      <c r="R77" s="185">
        <f t="shared" si="25"/>
        <v>0</v>
      </c>
      <c r="S77" s="185" t="e">
        <f t="shared" si="26"/>
        <v>#REF!</v>
      </c>
      <c r="T77" s="185">
        <f t="shared" si="27"/>
        <v>0</v>
      </c>
      <c r="U77" s="185" t="e">
        <f t="shared" si="28"/>
        <v>#REF!</v>
      </c>
      <c r="V77" s="185">
        <f t="shared" si="29"/>
        <v>0</v>
      </c>
      <c r="W77" s="185" t="e">
        <f t="shared" si="30"/>
        <v>#REF!</v>
      </c>
      <c r="X77" s="185">
        <f t="shared" si="31"/>
        <v>0</v>
      </c>
      <c r="Y77" s="185" t="e">
        <f t="shared" si="32"/>
        <v>#REF!</v>
      </c>
      <c r="Z77" s="251">
        <f t="shared" si="33"/>
        <v>0</v>
      </c>
      <c r="AA77" s="252"/>
    </row>
    <row r="78" spans="1:27" s="238" customFormat="1" ht="15.75" hidden="1" x14ac:dyDescent="0.2">
      <c r="A78" s="177">
        <v>108</v>
      </c>
      <c r="B78" s="177" t="s">
        <v>136</v>
      </c>
      <c r="C78" s="177">
        <v>0</v>
      </c>
      <c r="D78" s="177">
        <v>0</v>
      </c>
      <c r="E78" s="177">
        <v>28</v>
      </c>
      <c r="F78" s="177">
        <v>19</v>
      </c>
      <c r="G78" s="177">
        <f t="shared" si="22"/>
        <v>47</v>
      </c>
      <c r="H78" s="177">
        <v>1.2</v>
      </c>
      <c r="I78" s="177">
        <v>1</v>
      </c>
      <c r="J78" s="177">
        <f t="shared" si="23"/>
        <v>0</v>
      </c>
      <c r="K78" s="177">
        <v>7.8540000000000001</v>
      </c>
      <c r="L78" s="177">
        <f t="shared" si="2"/>
        <v>0</v>
      </c>
      <c r="M78" s="177" t="e">
        <f t="shared" si="18"/>
        <v>#REF!</v>
      </c>
      <c r="N78" s="250">
        <f t="shared" si="19"/>
        <v>0</v>
      </c>
      <c r="O78" s="185" t="e">
        <f t="shared" si="20"/>
        <v>#REF!</v>
      </c>
      <c r="P78" s="185">
        <f t="shared" si="21"/>
        <v>0</v>
      </c>
      <c r="Q78" s="185" t="e">
        <f t="shared" si="24"/>
        <v>#REF!</v>
      </c>
      <c r="R78" s="185">
        <f t="shared" si="25"/>
        <v>0</v>
      </c>
      <c r="S78" s="185" t="e">
        <f t="shared" si="26"/>
        <v>#REF!</v>
      </c>
      <c r="T78" s="185">
        <f t="shared" si="27"/>
        <v>0</v>
      </c>
      <c r="U78" s="185" t="e">
        <f t="shared" si="28"/>
        <v>#REF!</v>
      </c>
      <c r="V78" s="185">
        <f t="shared" si="29"/>
        <v>0</v>
      </c>
      <c r="W78" s="185" t="e">
        <f t="shared" si="30"/>
        <v>#REF!</v>
      </c>
      <c r="X78" s="185">
        <f t="shared" si="31"/>
        <v>0</v>
      </c>
      <c r="Y78" s="185" t="e">
        <f t="shared" si="32"/>
        <v>#REF!</v>
      </c>
      <c r="Z78" s="251">
        <f t="shared" si="33"/>
        <v>0</v>
      </c>
      <c r="AA78" s="252"/>
    </row>
    <row r="79" spans="1:27" s="238" customFormat="1" ht="15.75" hidden="1" x14ac:dyDescent="0.2">
      <c r="A79" s="253">
        <v>108</v>
      </c>
      <c r="B79" s="253" t="s">
        <v>137</v>
      </c>
      <c r="C79" s="177">
        <v>0</v>
      </c>
      <c r="D79" s="177">
        <v>0</v>
      </c>
      <c r="E79" s="253">
        <v>47</v>
      </c>
      <c r="F79" s="253">
        <v>36</v>
      </c>
      <c r="G79" s="177">
        <f t="shared" si="22"/>
        <v>83</v>
      </c>
      <c r="H79" s="177">
        <v>1.1499999999999999</v>
      </c>
      <c r="I79" s="177">
        <v>0.6</v>
      </c>
      <c r="J79" s="177">
        <f t="shared" si="23"/>
        <v>0</v>
      </c>
      <c r="K79" s="253">
        <v>7.8540000000000001</v>
      </c>
      <c r="L79" s="177">
        <f t="shared" si="2"/>
        <v>0</v>
      </c>
      <c r="M79" s="177" t="e">
        <f t="shared" si="18"/>
        <v>#REF!</v>
      </c>
      <c r="N79" s="250">
        <f t="shared" si="19"/>
        <v>0</v>
      </c>
      <c r="O79" s="185" t="e">
        <f t="shared" si="20"/>
        <v>#REF!</v>
      </c>
      <c r="P79" s="185">
        <f t="shared" si="21"/>
        <v>0</v>
      </c>
      <c r="Q79" s="185" t="e">
        <f t="shared" si="24"/>
        <v>#REF!</v>
      </c>
      <c r="R79" s="185">
        <f t="shared" si="25"/>
        <v>0</v>
      </c>
      <c r="S79" s="185" t="e">
        <f t="shared" si="26"/>
        <v>#REF!</v>
      </c>
      <c r="T79" s="185">
        <f t="shared" si="27"/>
        <v>0</v>
      </c>
      <c r="U79" s="185" t="e">
        <f t="shared" si="28"/>
        <v>#REF!</v>
      </c>
      <c r="V79" s="185">
        <f t="shared" si="29"/>
        <v>0</v>
      </c>
      <c r="W79" s="185" t="e">
        <f t="shared" si="30"/>
        <v>#REF!</v>
      </c>
      <c r="X79" s="185">
        <f t="shared" si="31"/>
        <v>0</v>
      </c>
      <c r="Y79" s="185" t="e">
        <f t="shared" si="32"/>
        <v>#REF!</v>
      </c>
      <c r="Z79" s="251">
        <f t="shared" si="33"/>
        <v>0</v>
      </c>
      <c r="AA79" s="252"/>
    </row>
    <row r="80" spans="1:27" s="238" customFormat="1" ht="15.75" hidden="1" x14ac:dyDescent="0.2">
      <c r="A80" s="177">
        <v>89</v>
      </c>
      <c r="B80" s="177" t="s">
        <v>136</v>
      </c>
      <c r="C80" s="177">
        <v>0</v>
      </c>
      <c r="D80" s="177">
        <v>0</v>
      </c>
      <c r="E80" s="253">
        <v>25</v>
      </c>
      <c r="F80" s="253">
        <v>17</v>
      </c>
      <c r="G80" s="177">
        <f t="shared" si="22"/>
        <v>42</v>
      </c>
      <c r="H80" s="177">
        <v>1.2</v>
      </c>
      <c r="I80" s="177">
        <v>1</v>
      </c>
      <c r="J80" s="177">
        <f t="shared" si="23"/>
        <v>0</v>
      </c>
      <c r="K80" s="253">
        <v>5.1529999999999996</v>
      </c>
      <c r="L80" s="177">
        <f t="shared" si="2"/>
        <v>0</v>
      </c>
      <c r="M80" s="177" t="e">
        <f t="shared" si="18"/>
        <v>#REF!</v>
      </c>
      <c r="N80" s="250">
        <f t="shared" si="19"/>
        <v>0</v>
      </c>
      <c r="O80" s="185" t="e">
        <f t="shared" si="20"/>
        <v>#REF!</v>
      </c>
      <c r="P80" s="185">
        <f t="shared" si="21"/>
        <v>0</v>
      </c>
      <c r="Q80" s="185" t="e">
        <f t="shared" si="24"/>
        <v>#REF!</v>
      </c>
      <c r="R80" s="185">
        <f t="shared" si="25"/>
        <v>0</v>
      </c>
      <c r="S80" s="185" t="e">
        <f t="shared" si="26"/>
        <v>#REF!</v>
      </c>
      <c r="T80" s="185">
        <f t="shared" si="27"/>
        <v>0</v>
      </c>
      <c r="U80" s="185" t="e">
        <f t="shared" si="28"/>
        <v>#REF!</v>
      </c>
      <c r="V80" s="185">
        <f t="shared" si="29"/>
        <v>0</v>
      </c>
      <c r="W80" s="185" t="e">
        <f t="shared" si="30"/>
        <v>#REF!</v>
      </c>
      <c r="X80" s="185">
        <f t="shared" si="31"/>
        <v>0</v>
      </c>
      <c r="Y80" s="185" t="e">
        <f t="shared" si="32"/>
        <v>#REF!</v>
      </c>
      <c r="Z80" s="251">
        <f t="shared" si="33"/>
        <v>0</v>
      </c>
      <c r="AA80" s="252"/>
    </row>
    <row r="81" spans="1:27" s="238" customFormat="1" ht="15.75" hidden="1" x14ac:dyDescent="0.2">
      <c r="A81" s="177">
        <v>89</v>
      </c>
      <c r="B81" s="177" t="s">
        <v>137</v>
      </c>
      <c r="C81" s="177">
        <v>0</v>
      </c>
      <c r="D81" s="177">
        <v>0</v>
      </c>
      <c r="E81" s="253">
        <v>44</v>
      </c>
      <c r="F81" s="253">
        <v>34</v>
      </c>
      <c r="G81" s="177">
        <f t="shared" si="22"/>
        <v>78</v>
      </c>
      <c r="H81" s="177">
        <v>1.1499999999999999</v>
      </c>
      <c r="I81" s="177">
        <v>0.6</v>
      </c>
      <c r="J81" s="177">
        <f t="shared" si="23"/>
        <v>0</v>
      </c>
      <c r="K81" s="253">
        <v>5.1529999999999996</v>
      </c>
      <c r="L81" s="177">
        <f t="shared" si="2"/>
        <v>0</v>
      </c>
      <c r="M81" s="177" t="e">
        <f t="shared" si="18"/>
        <v>#REF!</v>
      </c>
      <c r="N81" s="250">
        <f t="shared" si="19"/>
        <v>0</v>
      </c>
      <c r="O81" s="185" t="e">
        <f t="shared" si="20"/>
        <v>#REF!</v>
      </c>
      <c r="P81" s="185">
        <f t="shared" si="21"/>
        <v>0</v>
      </c>
      <c r="Q81" s="185" t="e">
        <f t="shared" si="24"/>
        <v>#REF!</v>
      </c>
      <c r="R81" s="185">
        <f t="shared" si="25"/>
        <v>0</v>
      </c>
      <c r="S81" s="185" t="e">
        <f t="shared" si="26"/>
        <v>#REF!</v>
      </c>
      <c r="T81" s="185">
        <f t="shared" si="27"/>
        <v>0</v>
      </c>
      <c r="U81" s="185" t="e">
        <f t="shared" si="28"/>
        <v>#REF!</v>
      </c>
      <c r="V81" s="185">
        <f t="shared" si="29"/>
        <v>0</v>
      </c>
      <c r="W81" s="185" t="e">
        <f t="shared" si="30"/>
        <v>#REF!</v>
      </c>
      <c r="X81" s="185">
        <f t="shared" si="31"/>
        <v>0</v>
      </c>
      <c r="Y81" s="185" t="e">
        <f t="shared" si="32"/>
        <v>#REF!</v>
      </c>
      <c r="Z81" s="251">
        <f t="shared" si="33"/>
        <v>0</v>
      </c>
      <c r="AA81" s="252"/>
    </row>
    <row r="82" spans="1:27" s="238" customFormat="1" ht="16.5" hidden="1" thickBot="1" x14ac:dyDescent="0.25">
      <c r="A82" s="276">
        <v>57</v>
      </c>
      <c r="B82" s="276" t="s">
        <v>143</v>
      </c>
      <c r="C82" s="177">
        <v>0</v>
      </c>
      <c r="D82" s="177">
        <v>0</v>
      </c>
      <c r="E82" s="253">
        <v>19</v>
      </c>
      <c r="F82" s="253">
        <v>13</v>
      </c>
      <c r="G82" s="253">
        <f t="shared" si="22"/>
        <v>32</v>
      </c>
      <c r="H82" s="253">
        <v>1.2</v>
      </c>
      <c r="I82" s="253">
        <v>1</v>
      </c>
      <c r="J82" s="253">
        <f t="shared" si="23"/>
        <v>0</v>
      </c>
      <c r="K82" s="253">
        <v>1.9630000000000001</v>
      </c>
      <c r="L82" s="253">
        <f t="shared" si="2"/>
        <v>0</v>
      </c>
      <c r="M82" s="177" t="e">
        <f t="shared" si="18"/>
        <v>#REF!</v>
      </c>
      <c r="N82" s="250">
        <f t="shared" si="19"/>
        <v>0</v>
      </c>
      <c r="O82" s="185" t="e">
        <f t="shared" si="20"/>
        <v>#REF!</v>
      </c>
      <c r="P82" s="185">
        <f t="shared" si="21"/>
        <v>0</v>
      </c>
      <c r="Q82" s="185" t="e">
        <f t="shared" si="24"/>
        <v>#REF!</v>
      </c>
      <c r="R82" s="185">
        <f t="shared" si="25"/>
        <v>0</v>
      </c>
      <c r="S82" s="185" t="e">
        <f t="shared" si="26"/>
        <v>#REF!</v>
      </c>
      <c r="T82" s="185">
        <f t="shared" si="27"/>
        <v>0</v>
      </c>
      <c r="U82" s="185" t="e">
        <f t="shared" si="28"/>
        <v>#REF!</v>
      </c>
      <c r="V82" s="185">
        <f t="shared" si="29"/>
        <v>0</v>
      </c>
      <c r="W82" s="185" t="e">
        <f t="shared" si="30"/>
        <v>#REF!</v>
      </c>
      <c r="X82" s="185">
        <f t="shared" si="31"/>
        <v>0</v>
      </c>
      <c r="Y82" s="185" t="e">
        <f t="shared" si="32"/>
        <v>#REF!</v>
      </c>
      <c r="Z82" s="251">
        <f t="shared" si="33"/>
        <v>0</v>
      </c>
      <c r="AA82" s="254"/>
    </row>
    <row r="83" spans="1:27" s="238" customFormat="1" ht="15.75" hidden="1" x14ac:dyDescent="0.2">
      <c r="A83" s="256" t="s">
        <v>139</v>
      </c>
      <c r="B83" s="258"/>
      <c r="C83" s="257">
        <f>SUM(C70:C82)</f>
        <v>0</v>
      </c>
      <c r="D83" s="257">
        <f>SUM(D70:D82)</f>
        <v>0</v>
      </c>
      <c r="E83" s="258"/>
      <c r="F83" s="258"/>
      <c r="G83" s="258"/>
      <c r="H83" s="258"/>
      <c r="I83" s="258"/>
      <c r="J83" s="258"/>
      <c r="K83" s="258"/>
      <c r="L83" s="258"/>
      <c r="M83" s="258" t="e">
        <f t="shared" ref="M83:Z83" si="34">SUM(M70:M82)</f>
        <v>#REF!</v>
      </c>
      <c r="N83" s="259">
        <f t="shared" si="34"/>
        <v>0</v>
      </c>
      <c r="O83" s="260" t="e">
        <f t="shared" si="34"/>
        <v>#REF!</v>
      </c>
      <c r="P83" s="260">
        <f t="shared" si="34"/>
        <v>0</v>
      </c>
      <c r="Q83" s="260" t="e">
        <f t="shared" si="34"/>
        <v>#REF!</v>
      </c>
      <c r="R83" s="260">
        <f t="shared" si="34"/>
        <v>0</v>
      </c>
      <c r="S83" s="260" t="e">
        <f t="shared" si="34"/>
        <v>#REF!</v>
      </c>
      <c r="T83" s="260">
        <f t="shared" si="34"/>
        <v>0</v>
      </c>
      <c r="U83" s="260" t="e">
        <f t="shared" si="34"/>
        <v>#REF!</v>
      </c>
      <c r="V83" s="260">
        <f t="shared" si="34"/>
        <v>0</v>
      </c>
      <c r="W83" s="260" t="e">
        <f t="shared" si="34"/>
        <v>#REF!</v>
      </c>
      <c r="X83" s="260">
        <f t="shared" si="34"/>
        <v>0</v>
      </c>
      <c r="Y83" s="260" t="e">
        <f t="shared" si="34"/>
        <v>#REF!</v>
      </c>
      <c r="Z83" s="261">
        <f t="shared" si="34"/>
        <v>0</v>
      </c>
      <c r="AA83" s="249"/>
    </row>
    <row r="84" spans="1:27" s="238" customFormat="1" ht="16.5" hidden="1" thickBot="1" x14ac:dyDescent="0.25">
      <c r="A84" s="277"/>
      <c r="B84" s="265" t="s">
        <v>140</v>
      </c>
      <c r="C84" s="265">
        <f>C71+C73+C76+C77+C79+C81</f>
        <v>0</v>
      </c>
      <c r="D84" s="265">
        <f>D71+D73+D76+D77+D79+D81</f>
        <v>0</v>
      </c>
      <c r="E84" s="266"/>
      <c r="F84" s="266"/>
      <c r="G84" s="266"/>
      <c r="H84" s="266"/>
      <c r="I84" s="266"/>
      <c r="J84" s="266"/>
      <c r="K84" s="266"/>
      <c r="L84" s="266"/>
      <c r="M84" s="266"/>
      <c r="N84" s="278" t="e">
        <f>ROUND(((M83+N83)*31*24*0.000001),2)</f>
        <v>#REF!</v>
      </c>
      <c r="O84" s="267"/>
      <c r="P84" s="278" t="e">
        <f>ROUND(((O83+P83)*28*24*0.000001),2)</f>
        <v>#REF!</v>
      </c>
      <c r="Q84" s="267"/>
      <c r="R84" s="267" t="e">
        <f>ROUND(((Q83+R83)*31*24*0.000001),2)</f>
        <v>#REF!</v>
      </c>
      <c r="S84" s="267"/>
      <c r="T84" s="267" t="e">
        <f>ROUND(((S83+T83)*13*24*0.000001),2)</f>
        <v>#REF!</v>
      </c>
      <c r="U84" s="267"/>
      <c r="V84" s="267" t="e">
        <f>ROUND(((U83+V83)*17*24*0.000001),2)</f>
        <v>#REF!</v>
      </c>
      <c r="W84" s="267"/>
      <c r="X84" s="267" t="e">
        <f>ROUND(((W83+X83)*30*24*0.000001),2)</f>
        <v>#REF!</v>
      </c>
      <c r="Y84" s="267"/>
      <c r="Z84" s="267" t="e">
        <f>ROUND(((Y83+Z83)*31*24*0.000001),2)</f>
        <v>#REF!</v>
      </c>
      <c r="AA84" s="268" t="e">
        <f>N84+P84+R84+T84+V84+X84+Z84</f>
        <v>#REF!</v>
      </c>
    </row>
    <row r="85" spans="1:27" s="238" customFormat="1" ht="15.75" hidden="1" x14ac:dyDescent="0.2">
      <c r="A85" s="279" t="s">
        <v>144</v>
      </c>
      <c r="B85" s="280"/>
      <c r="C85" s="280"/>
      <c r="D85" s="280"/>
      <c r="E85" s="280"/>
      <c r="F85" s="280"/>
      <c r="G85" s="271"/>
      <c r="H85" s="280"/>
      <c r="I85" s="280"/>
      <c r="J85" s="271"/>
      <c r="K85" s="280"/>
      <c r="L85" s="271"/>
      <c r="M85" s="271"/>
      <c r="N85" s="272"/>
      <c r="O85" s="273"/>
      <c r="P85" s="273"/>
      <c r="Q85" s="273"/>
      <c r="R85" s="273"/>
      <c r="S85" s="273"/>
      <c r="T85" s="273"/>
      <c r="U85" s="273"/>
      <c r="V85" s="273"/>
      <c r="W85" s="273"/>
      <c r="X85" s="273"/>
      <c r="Y85" s="273"/>
      <c r="Z85" s="274"/>
      <c r="AA85" s="275" t="s">
        <v>145</v>
      </c>
    </row>
    <row r="86" spans="1:27" s="238" customFormat="1" ht="15.75" hidden="1" x14ac:dyDescent="0.2">
      <c r="A86" s="177">
        <v>159</v>
      </c>
      <c r="B86" s="177" t="s">
        <v>136</v>
      </c>
      <c r="C86" s="177">
        <v>0</v>
      </c>
      <c r="D86" s="177">
        <v>0</v>
      </c>
      <c r="E86" s="177">
        <v>94</v>
      </c>
      <c r="F86" s="177">
        <v>107</v>
      </c>
      <c r="G86" s="177" t="e">
        <f>E86+((F86-E86)/(65-52.5))*((($E$11+$F$11)/2-$G$11)-52.5)</f>
        <v>#REF!</v>
      </c>
      <c r="H86" s="177">
        <v>1.2</v>
      </c>
      <c r="I86" s="177">
        <v>1</v>
      </c>
      <c r="J86" s="177" t="e">
        <f>H86*C86*G86*I86</f>
        <v>#REF!</v>
      </c>
      <c r="K86" s="177">
        <v>17.670000000000002</v>
      </c>
      <c r="L86" s="177">
        <f t="shared" si="2"/>
        <v>0</v>
      </c>
      <c r="M86" s="177" t="e">
        <f>J86*(($E$4+$F$4-2*$G$4)/($E$11+$F$11-2*$G$11))</f>
        <v>#REF!</v>
      </c>
      <c r="N86" s="250">
        <f>0.00125*1*L86*($E$4+$F$4-2*5)*1000</f>
        <v>0</v>
      </c>
      <c r="O86" s="185" t="e">
        <f>J86*(($E$5+$F$5-2*$G$5)/($E$11+$F$11-2*$G$11))</f>
        <v>#REF!</v>
      </c>
      <c r="P86" s="185">
        <f>0.00125*1*L86*($E$5+$F$5-2*5)*1000</f>
        <v>0</v>
      </c>
      <c r="Q86" s="185" t="e">
        <f>J86*(($E$6+$F$6-2*$G$6)/($E$11+$F$11-2*$G$11))</f>
        <v>#REF!</v>
      </c>
      <c r="R86" s="185">
        <f>0.00125*1*L86*($E$6+$F$6-2*5)*1000</f>
        <v>0</v>
      </c>
      <c r="S86" s="185" t="e">
        <f>J86*(($E$7+$F$7-2*$G$7)/($E$11+$F$11-2*$G$11))</f>
        <v>#REF!</v>
      </c>
      <c r="T86" s="185">
        <f>0.00125*1*L86*($E$7+$F$7-2*5)*1000</f>
        <v>0</v>
      </c>
      <c r="U86" s="185" t="e">
        <f>J86*(($E$8+$F$8-2*$G$8)/($E$11+$F$11-2*$G$11))</f>
        <v>#REF!</v>
      </c>
      <c r="V86" s="185">
        <f>0.00125*1*L86*($E$8+$F$8-2*5)*1000</f>
        <v>0</v>
      </c>
      <c r="W86" s="185" t="e">
        <f>J86*(($E$9+$F$9-2*$G$9)/($E$11+$F$11-2*$G$11))</f>
        <v>#REF!</v>
      </c>
      <c r="X86" s="185">
        <f>0.00125*1*L86*($E$9+$F$9-2*5)*1000</f>
        <v>0</v>
      </c>
      <c r="Y86" s="185" t="e">
        <f>J86*(($E$10+$F$10-2*$G$10)/($E$11+$F$11-2*$G$11))</f>
        <v>#REF!</v>
      </c>
      <c r="Z86" s="251">
        <f>0.00125*1*L86*($E$10+$F$10-2*5)*1000</f>
        <v>0</v>
      </c>
      <c r="AA86" s="252"/>
    </row>
    <row r="87" spans="1:27" s="238" customFormat="1" ht="15.75" hidden="1" x14ac:dyDescent="0.2">
      <c r="A87" s="177">
        <v>159</v>
      </c>
      <c r="B87" s="177" t="s">
        <v>137</v>
      </c>
      <c r="C87" s="177">
        <v>0</v>
      </c>
      <c r="D87" s="177">
        <v>0</v>
      </c>
      <c r="E87" s="177">
        <v>59</v>
      </c>
      <c r="F87" s="177">
        <v>45</v>
      </c>
      <c r="G87" s="177">
        <f>SUM(E87:F87)</f>
        <v>104</v>
      </c>
      <c r="H87" s="177">
        <v>1.1499999999999999</v>
      </c>
      <c r="I87" s="177">
        <v>0.6</v>
      </c>
      <c r="J87" s="177">
        <f>H87*C87*G87*I87</f>
        <v>0</v>
      </c>
      <c r="K87" s="177">
        <v>17.670000000000002</v>
      </c>
      <c r="L87" s="177">
        <f t="shared" si="2"/>
        <v>0</v>
      </c>
      <c r="M87" s="177" t="e">
        <f>J87*(($E$4+$F$4-2*$G$4)/($E$11+$F$11-2*$G$11))</f>
        <v>#REF!</v>
      </c>
      <c r="N87" s="250">
        <f>0.00125*1*L87*($E$4+$F$4-2*5)*1000</f>
        <v>0</v>
      </c>
      <c r="O87" s="185" t="e">
        <f>J87*(($E$5+$F$5-2*$G$5)/($E$11+$F$11-2*$G$11))</f>
        <v>#REF!</v>
      </c>
      <c r="P87" s="185">
        <f>0.00125*1*L87*($E$5+$F$5-2*5)*1000</f>
        <v>0</v>
      </c>
      <c r="Q87" s="185" t="e">
        <f>J87*(($E$6+$F$6-2*$G$6)/($E$11+$F$11-2*$G$11))</f>
        <v>#REF!</v>
      </c>
      <c r="R87" s="185">
        <f>0.00125*1*L87*($E$6+$F$6-2*5)*1000</f>
        <v>0</v>
      </c>
      <c r="S87" s="185" t="e">
        <f>J87*(($E$7+$F$7-2*$G$7)/($E$11+$F$11-2*$G$11))</f>
        <v>#REF!</v>
      </c>
      <c r="T87" s="185">
        <f>0.00125*1*L87*($E$7+$F$7-2*5)*1000</f>
        <v>0</v>
      </c>
      <c r="U87" s="185" t="e">
        <f>J87*(($E$8+$F$8-2*$G$8)/($E$11+$F$11-2*$G$11))</f>
        <v>#REF!</v>
      </c>
      <c r="V87" s="185">
        <f>0.00125*1*L87*($E$8+$F$8-2*5)*1000</f>
        <v>0</v>
      </c>
      <c r="W87" s="185" t="e">
        <f>J87*(($E$9+$F$9-2*$G$9)/($E$11+$F$11-2*$G$11))</f>
        <v>#REF!</v>
      </c>
      <c r="X87" s="185">
        <f>0.00125*1*L87*($E$9+$F$9-2*5)*1000</f>
        <v>0</v>
      </c>
      <c r="Y87" s="185" t="e">
        <f>J87*(($E$10+$F$10-2*$G$10)/($E$11+$F$11-2*$G$11))</f>
        <v>#REF!</v>
      </c>
      <c r="Z87" s="251">
        <f>0.00125*1*L87*($E$10+$F$10-2*5)*1000</f>
        <v>0</v>
      </c>
      <c r="AA87" s="252"/>
    </row>
    <row r="88" spans="1:27" s="238" customFormat="1" ht="15.75" hidden="1" x14ac:dyDescent="0.2">
      <c r="A88" s="177">
        <v>108</v>
      </c>
      <c r="B88" s="177" t="s">
        <v>136</v>
      </c>
      <c r="C88" s="177">
        <v>0</v>
      </c>
      <c r="D88" s="177">
        <v>0</v>
      </c>
      <c r="E88" s="177">
        <v>76</v>
      </c>
      <c r="F88" s="177">
        <v>88</v>
      </c>
      <c r="G88" s="177" t="e">
        <f>E88+((F88-E88)/(65-52.5))*((($E$11+$F$11)/2-$G$11)-52.5)</f>
        <v>#REF!</v>
      </c>
      <c r="H88" s="177">
        <v>1.2</v>
      </c>
      <c r="I88" s="177">
        <v>1</v>
      </c>
      <c r="J88" s="177" t="e">
        <f>H88*C88*G88*I88</f>
        <v>#REF!</v>
      </c>
      <c r="K88" s="177">
        <v>7.8540000000000001</v>
      </c>
      <c r="L88" s="177">
        <f t="shared" si="2"/>
        <v>0</v>
      </c>
      <c r="M88" s="177" t="e">
        <f>J88*(($E$4+$F$4-2*$G$4)/($E$11+$F$11-2*$G$11))</f>
        <v>#REF!</v>
      </c>
      <c r="N88" s="250">
        <f>0.00125*1*L88*($E$4+$F$4-2*5)*1000</f>
        <v>0</v>
      </c>
      <c r="O88" s="185" t="e">
        <f>J88*(($E$5+$F$5-2*$G$5)/($E$11+$F$11-2*$G$11))</f>
        <v>#REF!</v>
      </c>
      <c r="P88" s="185">
        <f>0.00125*1*L88*($E$5+$F$5-2*5)*1000</f>
        <v>0</v>
      </c>
      <c r="Q88" s="185" t="e">
        <f>J88*(($E$6+$F$6-2*$G$6)/($E$11+$F$11-2*$G$11))</f>
        <v>#REF!</v>
      </c>
      <c r="R88" s="185">
        <f>0.00125*1*L88*($E$6+$F$6-2*5)*1000</f>
        <v>0</v>
      </c>
      <c r="S88" s="185" t="e">
        <f>J88*(($E$7+$F$7-2*$G$7)/($E$11+$F$11-2*$G$11))</f>
        <v>#REF!</v>
      </c>
      <c r="T88" s="185">
        <f>0.00125*1*L88*($E$7+$F$7-2*5)*1000</f>
        <v>0</v>
      </c>
      <c r="U88" s="185" t="e">
        <f>J88*(($E$8+$F$8-2*$G$8)/($E$11+$F$11-2*$G$11))</f>
        <v>#REF!</v>
      </c>
      <c r="V88" s="185">
        <f>0.00125*1*L88*($E$8+$F$8-2*5)*1000</f>
        <v>0</v>
      </c>
      <c r="W88" s="185" t="e">
        <f>J88*(($E$9+$F$9-2*$G$9)/($E$11+$F$11-2*$G$11))</f>
        <v>#REF!</v>
      </c>
      <c r="X88" s="185">
        <f>0.00125*1*L88*($E$9+$F$9-2*5)*1000</f>
        <v>0</v>
      </c>
      <c r="Y88" s="185" t="e">
        <f>J88*(($E$10+$F$10-2*$G$10)/($E$11+$F$11-2*$G$11))</f>
        <v>#REF!</v>
      </c>
      <c r="Z88" s="251">
        <f>0.00125*1*L88*($E$10+$F$10-2*5)*1000</f>
        <v>0</v>
      </c>
      <c r="AA88" s="252"/>
    </row>
    <row r="89" spans="1:27" s="238" customFormat="1" ht="16.5" hidden="1" thickBot="1" x14ac:dyDescent="0.25">
      <c r="A89" s="253">
        <v>20</v>
      </c>
      <c r="B89" s="253" t="s">
        <v>136</v>
      </c>
      <c r="C89" s="177">
        <v>0</v>
      </c>
      <c r="D89" s="177">
        <v>0</v>
      </c>
      <c r="E89" s="253">
        <v>42</v>
      </c>
      <c r="F89" s="253">
        <v>48</v>
      </c>
      <c r="G89" s="177" t="e">
        <f>E89+((F89-E89)/(65-52.5))*((($E$11+$F$11)/2-$G$11)-52.5)</f>
        <v>#REF!</v>
      </c>
      <c r="H89" s="253">
        <v>1.2</v>
      </c>
      <c r="I89" s="253">
        <v>1</v>
      </c>
      <c r="J89" s="253" t="e">
        <f>H89*C89*G89*I89</f>
        <v>#REF!</v>
      </c>
      <c r="K89" s="253">
        <v>0.1767</v>
      </c>
      <c r="L89" s="253">
        <f t="shared" si="2"/>
        <v>0</v>
      </c>
      <c r="M89" s="177" t="e">
        <f>J89*(($E$4+$F$4-2*$G$4)/($E$11+$F$11-2*$G$11))</f>
        <v>#REF!</v>
      </c>
      <c r="N89" s="250">
        <f>0.00125*1*L89*($E$4+$F$4-2*5)*1000</f>
        <v>0</v>
      </c>
      <c r="O89" s="185" t="e">
        <f>J89*(($E$5+$F$5-2*$G$5)/($E$11+$F$11-2*$G$11))</f>
        <v>#REF!</v>
      </c>
      <c r="P89" s="185">
        <f>0.00125*1*L89*($E$5+$F$5-2*5)*1000</f>
        <v>0</v>
      </c>
      <c r="Q89" s="185" t="e">
        <f>J89*(($E$6+$F$6-2*$G$6)/($E$11+$F$11-2*$G$11))</f>
        <v>#REF!</v>
      </c>
      <c r="R89" s="185">
        <f>0.00125*1*L89*($E$6+$F$6-2*5)*1000</f>
        <v>0</v>
      </c>
      <c r="S89" s="185" t="e">
        <f>J89*(($E$7+$F$7-2*$G$7)/($E$11+$F$11-2*$G$11))</f>
        <v>#REF!</v>
      </c>
      <c r="T89" s="185">
        <f>0.00125*1*L89*($E$7+$F$7-2*5)*1000</f>
        <v>0</v>
      </c>
      <c r="U89" s="185" t="e">
        <f>J89*(($E$8+$F$8-2*$G$8)/($E$11+$F$11-2*$G$11))</f>
        <v>#REF!</v>
      </c>
      <c r="V89" s="185">
        <f>0.00125*1*L89*($E$8+$F$8-2*5)*1000</f>
        <v>0</v>
      </c>
      <c r="W89" s="185" t="e">
        <f>J89*(($E$9+$F$9-2*$G$9)/($E$11+$F$11-2*$G$11))</f>
        <v>#REF!</v>
      </c>
      <c r="X89" s="185">
        <f>0.00125*1*L89*($E$9+$F$9-2*5)*1000</f>
        <v>0</v>
      </c>
      <c r="Y89" s="185" t="e">
        <f>J89*(($E$10+$F$10-2*$G$10)/($E$11+$F$11-2*$G$11))</f>
        <v>#REF!</v>
      </c>
      <c r="Z89" s="251">
        <f>0.00125*1*L89*($E$10+$F$10-2*5)*1000</f>
        <v>0</v>
      </c>
      <c r="AA89" s="254"/>
    </row>
    <row r="90" spans="1:27" s="238" customFormat="1" ht="15.75" hidden="1" x14ac:dyDescent="0.2">
      <c r="A90" s="256" t="s">
        <v>139</v>
      </c>
      <c r="B90" s="257"/>
      <c r="C90" s="257">
        <f>SUM(C86:C89)</f>
        <v>0</v>
      </c>
      <c r="D90" s="257">
        <f>SUM(D86:D89)</f>
        <v>0</v>
      </c>
      <c r="E90" s="257"/>
      <c r="F90" s="257"/>
      <c r="G90" s="258"/>
      <c r="H90" s="257"/>
      <c r="I90" s="257"/>
      <c r="J90" s="258"/>
      <c r="K90" s="257"/>
      <c r="L90" s="258"/>
      <c r="M90" s="258" t="e">
        <f t="shared" ref="M90:Z90" si="35">SUM(M86:M89)</f>
        <v>#REF!</v>
      </c>
      <c r="N90" s="259">
        <f t="shared" si="35"/>
        <v>0</v>
      </c>
      <c r="O90" s="260" t="e">
        <f t="shared" si="35"/>
        <v>#REF!</v>
      </c>
      <c r="P90" s="260">
        <f t="shared" si="35"/>
        <v>0</v>
      </c>
      <c r="Q90" s="260" t="e">
        <f t="shared" si="35"/>
        <v>#REF!</v>
      </c>
      <c r="R90" s="260">
        <f t="shared" si="35"/>
        <v>0</v>
      </c>
      <c r="S90" s="260" t="e">
        <f t="shared" si="35"/>
        <v>#REF!</v>
      </c>
      <c r="T90" s="260">
        <f t="shared" si="35"/>
        <v>0</v>
      </c>
      <c r="U90" s="260" t="e">
        <f t="shared" si="35"/>
        <v>#REF!</v>
      </c>
      <c r="V90" s="260">
        <f t="shared" si="35"/>
        <v>0</v>
      </c>
      <c r="W90" s="260" t="e">
        <f t="shared" si="35"/>
        <v>#REF!</v>
      </c>
      <c r="X90" s="260">
        <f t="shared" si="35"/>
        <v>0</v>
      </c>
      <c r="Y90" s="260" t="e">
        <f t="shared" si="35"/>
        <v>#REF!</v>
      </c>
      <c r="Z90" s="261">
        <f t="shared" si="35"/>
        <v>0</v>
      </c>
      <c r="AA90" s="249"/>
    </row>
    <row r="91" spans="1:27" s="238" customFormat="1" ht="16.5" hidden="1" thickBot="1" x14ac:dyDescent="0.25">
      <c r="A91" s="264"/>
      <c r="B91" s="265" t="s">
        <v>140</v>
      </c>
      <c r="C91" s="265">
        <f>C87</f>
        <v>0</v>
      </c>
      <c r="D91" s="265">
        <f>D87</f>
        <v>0</v>
      </c>
      <c r="E91" s="265"/>
      <c r="F91" s="265"/>
      <c r="G91" s="266"/>
      <c r="H91" s="265"/>
      <c r="I91" s="265"/>
      <c r="J91" s="266"/>
      <c r="K91" s="265"/>
      <c r="L91" s="266"/>
      <c r="M91" s="266"/>
      <c r="N91" s="267" t="e">
        <f>ROUND(((M90+N90)*31*24*0.000001),2)</f>
        <v>#REF!</v>
      </c>
      <c r="O91" s="267"/>
      <c r="P91" s="267" t="e">
        <f>ROUND(((O90+P90)*28*24*0.000001),2)</f>
        <v>#REF!</v>
      </c>
      <c r="Q91" s="267"/>
      <c r="R91" s="267" t="e">
        <f>ROUND(((Q90+R90)*31*24*0.000001),2)</f>
        <v>#REF!</v>
      </c>
      <c r="S91" s="267"/>
      <c r="T91" s="267" t="e">
        <f>ROUND(((S90+T90)*13*24*0.000001),2)</f>
        <v>#REF!</v>
      </c>
      <c r="U91" s="267"/>
      <c r="V91" s="267" t="e">
        <f>ROUND(((U90+V90)*17*24*0.000001),2)</f>
        <v>#REF!</v>
      </c>
      <c r="W91" s="267"/>
      <c r="X91" s="267" t="e">
        <f>ROUND(((W90+X90)*30*24*0.000001),2)</f>
        <v>#REF!</v>
      </c>
      <c r="Y91" s="267"/>
      <c r="Z91" s="267" t="e">
        <f>ROUND(((Y90+Z90)*31*24*0.000001),2)</f>
        <v>#REF!</v>
      </c>
      <c r="AA91" s="268" t="e">
        <f>N91+P91+R91+T91+V91+X91+Z91</f>
        <v>#REF!</v>
      </c>
    </row>
    <row r="92" spans="1:27" s="238" customFormat="1" ht="15.75" hidden="1" x14ac:dyDescent="0.2">
      <c r="A92" s="269" t="s">
        <v>146</v>
      </c>
      <c r="B92" s="270"/>
      <c r="C92" s="270"/>
      <c r="D92" s="270"/>
      <c r="E92" s="270"/>
      <c r="F92" s="270"/>
      <c r="G92" s="271"/>
      <c r="H92" s="270"/>
      <c r="I92" s="270"/>
      <c r="J92" s="271"/>
      <c r="K92" s="270"/>
      <c r="L92" s="271"/>
      <c r="M92" s="271"/>
      <c r="N92" s="272"/>
      <c r="O92" s="273"/>
      <c r="P92" s="273"/>
      <c r="Q92" s="273"/>
      <c r="R92" s="273"/>
      <c r="S92" s="273"/>
      <c r="T92" s="273"/>
      <c r="U92" s="273"/>
      <c r="V92" s="273"/>
      <c r="W92" s="273"/>
      <c r="X92" s="273"/>
      <c r="Y92" s="273"/>
      <c r="Z92" s="274"/>
      <c r="AA92" s="275" t="s">
        <v>147</v>
      </c>
    </row>
    <row r="93" spans="1:27" s="238" customFormat="1" ht="15.75" hidden="1" x14ac:dyDescent="0.2">
      <c r="A93" s="177">
        <v>273</v>
      </c>
      <c r="B93" s="177" t="s">
        <v>136</v>
      </c>
      <c r="C93" s="177">
        <v>0</v>
      </c>
      <c r="D93" s="177">
        <v>0</v>
      </c>
      <c r="E93" s="177">
        <v>132</v>
      </c>
      <c r="F93" s="177">
        <v>150</v>
      </c>
      <c r="G93" s="177" t="e">
        <f>E93+((F93-E93)/(65-52.5))*((($E$11+$F$11)/2-$G$11)-52.5)</f>
        <v>#REF!</v>
      </c>
      <c r="H93" s="177">
        <v>1.2</v>
      </c>
      <c r="I93" s="177">
        <v>1</v>
      </c>
      <c r="J93" s="177" t="e">
        <f>H93*C93*G93*I93</f>
        <v>#REF!</v>
      </c>
      <c r="K93" s="177">
        <v>51.07</v>
      </c>
      <c r="L93" s="177">
        <f t="shared" si="2"/>
        <v>0</v>
      </c>
      <c r="M93" s="177" t="e">
        <f>J93*(($E$4+$F$4-2*$G$4)/($E$11+$F$11-2*$G$11))</f>
        <v>#REF!</v>
      </c>
      <c r="N93" s="250">
        <f>0.00125*1*L93*($E$4+$F$4-2*5)*1000</f>
        <v>0</v>
      </c>
      <c r="O93" s="185" t="e">
        <f>J93*(($E$5+$F$5-2*$G$5)/($E$11+$F$11-2*$G$11))</f>
        <v>#REF!</v>
      </c>
      <c r="P93" s="185">
        <f>0.00125*1*L93*($E$5+$F$5-2*5)*1000</f>
        <v>0</v>
      </c>
      <c r="Q93" s="185" t="e">
        <f>J93*(($E$6+$F$6-2*$G$6)/($E$11+$F$11-2*$G$11))</f>
        <v>#REF!</v>
      </c>
      <c r="R93" s="185">
        <f>0.00125*1*L93*($E$6+$F$6-2*5)*1000</f>
        <v>0</v>
      </c>
      <c r="S93" s="185" t="e">
        <f>J93*(($E$7+$F$7-2*$G$7)/($E$11+$F$11-2*$G$11))</f>
        <v>#REF!</v>
      </c>
      <c r="T93" s="185">
        <f>0.00125*1*L93*($E$7+$F$7-2*5)*1000</f>
        <v>0</v>
      </c>
      <c r="U93" s="185" t="e">
        <f>J93*(($E$8+$F$8-2*$G$8)/($E$11+$F$11-2*$G$11))</f>
        <v>#REF!</v>
      </c>
      <c r="V93" s="185">
        <f>0.00125*1*L93*($E$8+$F$8-2*5)*1000</f>
        <v>0</v>
      </c>
      <c r="W93" s="185" t="e">
        <f>J93*(($E$9+$F$9-2*$G$9)/($E$11+$F$11-2*$G$11))</f>
        <v>#REF!</v>
      </c>
      <c r="X93" s="185">
        <f>0.00125*1*L93*($E$9+$F$9-2*5)*1000</f>
        <v>0</v>
      </c>
      <c r="Y93" s="185" t="e">
        <f>J93*(($E$10+$F$10-2*$G$10)/($E$11+$F$11-2*$G$11))</f>
        <v>#REF!</v>
      </c>
      <c r="Z93" s="251">
        <f>0.00125*1*L93*($E$10+$F$10-2*5)*1000</f>
        <v>0</v>
      </c>
      <c r="AA93" s="252"/>
    </row>
    <row r="94" spans="1:27" s="238" customFormat="1" ht="15.75" hidden="1" x14ac:dyDescent="0.2">
      <c r="A94" s="177">
        <v>219</v>
      </c>
      <c r="B94" s="177" t="s">
        <v>148</v>
      </c>
      <c r="C94" s="177">
        <v>0</v>
      </c>
      <c r="D94" s="177">
        <v>0</v>
      </c>
      <c r="E94" s="177">
        <v>66</v>
      </c>
      <c r="F94" s="177">
        <v>51</v>
      </c>
      <c r="G94" s="177">
        <f>SUM(E94:F94)</f>
        <v>117</v>
      </c>
      <c r="H94" s="177">
        <v>1.1499999999999999</v>
      </c>
      <c r="I94" s="177">
        <v>0.7</v>
      </c>
      <c r="J94" s="177">
        <f t="shared" ref="J94:J105" si="36">H94*C94*G94*I94</f>
        <v>0</v>
      </c>
      <c r="K94" s="177">
        <v>32.36</v>
      </c>
      <c r="L94" s="177">
        <f t="shared" si="2"/>
        <v>0</v>
      </c>
      <c r="M94" s="177" t="e">
        <f t="shared" ref="M94:M105" si="37">J94*(($E$4+$F$4-2*$G$4)/($E$11+$F$11-2*$G$11))</f>
        <v>#REF!</v>
      </c>
      <c r="N94" s="250">
        <f t="shared" ref="N94:N105" si="38">0.00125*1*L94*($E$4+$F$4-2*5)*1000</f>
        <v>0</v>
      </c>
      <c r="O94" s="185" t="e">
        <f t="shared" ref="O94:O105" si="39">J94*(($E$5+$F$5-2*$G$5)/($E$11+$F$11-2*$G$11))</f>
        <v>#REF!</v>
      </c>
      <c r="P94" s="185">
        <f t="shared" ref="P94:P105" si="40">0.00125*1*L94*($E$5+$F$5-2*5)*1000</f>
        <v>0</v>
      </c>
      <c r="Q94" s="185" t="e">
        <f t="shared" ref="Q94:Q105" si="41">J94*(($E$6+$F$6-2*$G$6)/($E$11+$F$11-2*$G$11))</f>
        <v>#REF!</v>
      </c>
      <c r="R94" s="185">
        <f t="shared" ref="R94:R105" si="42">0.00125*1*L94*($E$6+$F$6-2*5)*1000</f>
        <v>0</v>
      </c>
      <c r="S94" s="185" t="e">
        <f t="shared" ref="S94:S105" si="43">J94*(($E$7+$F$7-2*$G$7)/($E$11+$F$11-2*$G$11))</f>
        <v>#REF!</v>
      </c>
      <c r="T94" s="185">
        <f t="shared" ref="T94:T105" si="44">0.00125*1*L94*($E$7+$F$7-2*5)*1000</f>
        <v>0</v>
      </c>
      <c r="U94" s="185" t="e">
        <f t="shared" ref="U94:U105" si="45">J94*(($E$8+$F$8-2*$G$8)/($E$11+$F$11-2*$G$11))</f>
        <v>#REF!</v>
      </c>
      <c r="V94" s="185">
        <f t="shared" ref="V94:V105" si="46">0.00125*1*L94*($E$8+$F$8-2*5)*1000</f>
        <v>0</v>
      </c>
      <c r="W94" s="185" t="e">
        <f t="shared" ref="W94:W105" si="47">J94*(($E$9+$F$9-2*$G$9)/($E$11+$F$11-2*$G$11))</f>
        <v>#REF!</v>
      </c>
      <c r="X94" s="185">
        <f t="shared" ref="X94:X105" si="48">0.00125*1*L94*($E$9+$F$9-2*5)*1000</f>
        <v>0</v>
      </c>
      <c r="Y94" s="185" t="e">
        <f t="shared" ref="Y94:Y105" si="49">J94*(($E$10+$F$10-2*$G$10)/($E$11+$F$11-2*$G$11))</f>
        <v>#REF!</v>
      </c>
      <c r="Z94" s="251">
        <f t="shared" ref="Z94:Z105" si="50">0.00125*1*L94*($E$10+$F$10-2*5)*1000</f>
        <v>0</v>
      </c>
      <c r="AA94" s="252"/>
    </row>
    <row r="95" spans="1:27" s="238" customFormat="1" ht="15.75" hidden="1" x14ac:dyDescent="0.2">
      <c r="A95" s="177">
        <v>219</v>
      </c>
      <c r="B95" s="177" t="s">
        <v>136</v>
      </c>
      <c r="C95" s="177">
        <v>0</v>
      </c>
      <c r="D95" s="177">
        <v>0</v>
      </c>
      <c r="E95" s="177">
        <v>113</v>
      </c>
      <c r="F95" s="177">
        <v>130</v>
      </c>
      <c r="G95" s="177" t="e">
        <f>E95+((F95-E95)/(65-52.5))*((($E$11+$F$11)/2-$G$11)-52.5)</f>
        <v>#REF!</v>
      </c>
      <c r="H95" s="177">
        <v>1.2</v>
      </c>
      <c r="I95" s="177">
        <v>1</v>
      </c>
      <c r="J95" s="177" t="e">
        <f t="shared" si="36"/>
        <v>#REF!</v>
      </c>
      <c r="K95" s="177">
        <v>32.36</v>
      </c>
      <c r="L95" s="177">
        <f t="shared" si="2"/>
        <v>0</v>
      </c>
      <c r="M95" s="177" t="e">
        <f t="shared" si="37"/>
        <v>#REF!</v>
      </c>
      <c r="N95" s="250">
        <f t="shared" si="38"/>
        <v>0</v>
      </c>
      <c r="O95" s="185" t="e">
        <f t="shared" si="39"/>
        <v>#REF!</v>
      </c>
      <c r="P95" s="185">
        <f t="shared" si="40"/>
        <v>0</v>
      </c>
      <c r="Q95" s="185" t="e">
        <f t="shared" si="41"/>
        <v>#REF!</v>
      </c>
      <c r="R95" s="185">
        <f t="shared" si="42"/>
        <v>0</v>
      </c>
      <c r="S95" s="185" t="e">
        <f t="shared" si="43"/>
        <v>#REF!</v>
      </c>
      <c r="T95" s="185">
        <f t="shared" si="44"/>
        <v>0</v>
      </c>
      <c r="U95" s="185" t="e">
        <f t="shared" si="45"/>
        <v>#REF!</v>
      </c>
      <c r="V95" s="185">
        <f t="shared" si="46"/>
        <v>0</v>
      </c>
      <c r="W95" s="185" t="e">
        <f t="shared" si="47"/>
        <v>#REF!</v>
      </c>
      <c r="X95" s="185">
        <f t="shared" si="48"/>
        <v>0</v>
      </c>
      <c r="Y95" s="185" t="e">
        <f t="shared" si="49"/>
        <v>#REF!</v>
      </c>
      <c r="Z95" s="251">
        <f t="shared" si="50"/>
        <v>0</v>
      </c>
      <c r="AA95" s="252"/>
    </row>
    <row r="96" spans="1:27" s="238" customFormat="1" ht="15.75" hidden="1" x14ac:dyDescent="0.2">
      <c r="A96" s="177">
        <v>159</v>
      </c>
      <c r="B96" s="177" t="s">
        <v>136</v>
      </c>
      <c r="C96" s="177">
        <v>0</v>
      </c>
      <c r="D96" s="177">
        <v>0</v>
      </c>
      <c r="E96" s="177">
        <v>94</v>
      </c>
      <c r="F96" s="177">
        <v>107</v>
      </c>
      <c r="G96" s="177" t="e">
        <f>E96+((F96-E96)/(65-52.5))*((($E$11+$F$11)/2-$G$11)-52.5)</f>
        <v>#REF!</v>
      </c>
      <c r="H96" s="177">
        <v>1.2</v>
      </c>
      <c r="I96" s="177">
        <v>1</v>
      </c>
      <c r="J96" s="177" t="e">
        <f t="shared" si="36"/>
        <v>#REF!</v>
      </c>
      <c r="K96" s="177">
        <v>17.670000000000002</v>
      </c>
      <c r="L96" s="177">
        <f t="shared" si="2"/>
        <v>0</v>
      </c>
      <c r="M96" s="177" t="e">
        <f t="shared" si="37"/>
        <v>#REF!</v>
      </c>
      <c r="N96" s="250">
        <f t="shared" si="38"/>
        <v>0</v>
      </c>
      <c r="O96" s="185" t="e">
        <f t="shared" si="39"/>
        <v>#REF!</v>
      </c>
      <c r="P96" s="185">
        <f t="shared" si="40"/>
        <v>0</v>
      </c>
      <c r="Q96" s="185" t="e">
        <f t="shared" si="41"/>
        <v>#REF!</v>
      </c>
      <c r="R96" s="185">
        <f t="shared" si="42"/>
        <v>0</v>
      </c>
      <c r="S96" s="185" t="e">
        <f t="shared" si="43"/>
        <v>#REF!</v>
      </c>
      <c r="T96" s="185">
        <f t="shared" si="44"/>
        <v>0</v>
      </c>
      <c r="U96" s="185" t="e">
        <f t="shared" si="45"/>
        <v>#REF!</v>
      </c>
      <c r="V96" s="185">
        <f t="shared" si="46"/>
        <v>0</v>
      </c>
      <c r="W96" s="185" t="e">
        <f t="shared" si="47"/>
        <v>#REF!</v>
      </c>
      <c r="X96" s="185">
        <f t="shared" si="48"/>
        <v>0</v>
      </c>
      <c r="Y96" s="185" t="e">
        <f t="shared" si="49"/>
        <v>#REF!</v>
      </c>
      <c r="Z96" s="251">
        <f t="shared" si="50"/>
        <v>0</v>
      </c>
      <c r="AA96" s="252"/>
    </row>
    <row r="97" spans="1:29" s="238" customFormat="1" ht="15.75" hidden="1" x14ac:dyDescent="0.2">
      <c r="A97" s="177">
        <v>133</v>
      </c>
      <c r="B97" s="177" t="s">
        <v>148</v>
      </c>
      <c r="C97" s="177">
        <v>0</v>
      </c>
      <c r="D97" s="177">
        <v>0</v>
      </c>
      <c r="E97" s="177">
        <v>53</v>
      </c>
      <c r="F97" s="177">
        <v>40</v>
      </c>
      <c r="G97" s="177">
        <f>SUM(E97:F97)</f>
        <v>93</v>
      </c>
      <c r="H97" s="177">
        <v>1.1499999999999999</v>
      </c>
      <c r="I97" s="177">
        <v>0.6</v>
      </c>
      <c r="J97" s="177">
        <f t="shared" si="36"/>
        <v>0</v>
      </c>
      <c r="K97" s="177">
        <v>12.21</v>
      </c>
      <c r="L97" s="177">
        <f t="shared" si="2"/>
        <v>0</v>
      </c>
      <c r="M97" s="177" t="e">
        <f t="shared" si="37"/>
        <v>#REF!</v>
      </c>
      <c r="N97" s="250">
        <f t="shared" si="38"/>
        <v>0</v>
      </c>
      <c r="O97" s="185" t="e">
        <f t="shared" si="39"/>
        <v>#REF!</v>
      </c>
      <c r="P97" s="185">
        <f t="shared" si="40"/>
        <v>0</v>
      </c>
      <c r="Q97" s="185" t="e">
        <f t="shared" si="41"/>
        <v>#REF!</v>
      </c>
      <c r="R97" s="185">
        <f t="shared" si="42"/>
        <v>0</v>
      </c>
      <c r="S97" s="185" t="e">
        <f t="shared" si="43"/>
        <v>#REF!</v>
      </c>
      <c r="T97" s="185">
        <f t="shared" si="44"/>
        <v>0</v>
      </c>
      <c r="U97" s="185" t="e">
        <f t="shared" si="45"/>
        <v>#REF!</v>
      </c>
      <c r="V97" s="185">
        <f t="shared" si="46"/>
        <v>0</v>
      </c>
      <c r="W97" s="185" t="e">
        <f t="shared" si="47"/>
        <v>#REF!</v>
      </c>
      <c r="X97" s="185">
        <f t="shared" si="48"/>
        <v>0</v>
      </c>
      <c r="Y97" s="185" t="e">
        <f t="shared" si="49"/>
        <v>#REF!</v>
      </c>
      <c r="Z97" s="251">
        <f t="shared" si="50"/>
        <v>0</v>
      </c>
      <c r="AA97" s="252"/>
    </row>
    <row r="98" spans="1:29" s="238" customFormat="1" ht="15.75" hidden="1" x14ac:dyDescent="0.2">
      <c r="A98" s="177">
        <v>133</v>
      </c>
      <c r="B98" s="177" t="s">
        <v>136</v>
      </c>
      <c r="C98" s="177">
        <v>0</v>
      </c>
      <c r="D98" s="177">
        <v>0</v>
      </c>
      <c r="E98" s="177">
        <v>53</v>
      </c>
      <c r="F98" s="177">
        <v>40</v>
      </c>
      <c r="G98" s="177">
        <f>SUM(E98:F98)</f>
        <v>93</v>
      </c>
      <c r="H98" s="177">
        <v>1.1499999999999999</v>
      </c>
      <c r="I98" s="177">
        <v>1</v>
      </c>
      <c r="J98" s="177">
        <f t="shared" si="36"/>
        <v>0</v>
      </c>
      <c r="K98" s="177">
        <v>12.21</v>
      </c>
      <c r="L98" s="177">
        <f t="shared" si="2"/>
        <v>0</v>
      </c>
      <c r="M98" s="177" t="e">
        <f t="shared" si="37"/>
        <v>#REF!</v>
      </c>
      <c r="N98" s="250">
        <f t="shared" si="38"/>
        <v>0</v>
      </c>
      <c r="O98" s="185" t="e">
        <f t="shared" si="39"/>
        <v>#REF!</v>
      </c>
      <c r="P98" s="185">
        <f t="shared" si="40"/>
        <v>0</v>
      </c>
      <c r="Q98" s="185" t="e">
        <f t="shared" si="41"/>
        <v>#REF!</v>
      </c>
      <c r="R98" s="185">
        <f t="shared" si="42"/>
        <v>0</v>
      </c>
      <c r="S98" s="185" t="e">
        <f t="shared" si="43"/>
        <v>#REF!</v>
      </c>
      <c r="T98" s="185">
        <f t="shared" si="44"/>
        <v>0</v>
      </c>
      <c r="U98" s="185" t="e">
        <f t="shared" si="45"/>
        <v>#REF!</v>
      </c>
      <c r="V98" s="185">
        <f t="shared" si="46"/>
        <v>0</v>
      </c>
      <c r="W98" s="185" t="e">
        <f t="shared" si="47"/>
        <v>#REF!</v>
      </c>
      <c r="X98" s="185">
        <f t="shared" si="48"/>
        <v>0</v>
      </c>
      <c r="Y98" s="185" t="e">
        <f t="shared" si="49"/>
        <v>#REF!</v>
      </c>
      <c r="Z98" s="251">
        <f t="shared" si="50"/>
        <v>0</v>
      </c>
      <c r="AA98" s="252"/>
    </row>
    <row r="99" spans="1:29" s="238" customFormat="1" ht="15.75" hidden="1" x14ac:dyDescent="0.2">
      <c r="A99" s="177">
        <v>108</v>
      </c>
      <c r="B99" s="177" t="s">
        <v>136</v>
      </c>
      <c r="C99" s="177">
        <v>0</v>
      </c>
      <c r="D99" s="177">
        <v>0</v>
      </c>
      <c r="E99" s="177">
        <v>76</v>
      </c>
      <c r="F99" s="177">
        <v>88</v>
      </c>
      <c r="G99" s="177" t="e">
        <f>E99+((F99-E99)/(65-52.5))*((($E$11+$F$11)/2-$G$11)-52.5)</f>
        <v>#REF!</v>
      </c>
      <c r="H99" s="177">
        <v>1.2</v>
      </c>
      <c r="I99" s="177">
        <v>1</v>
      </c>
      <c r="J99" s="177" t="e">
        <f t="shared" si="36"/>
        <v>#REF!</v>
      </c>
      <c r="K99" s="177">
        <v>7.8540000000000001</v>
      </c>
      <c r="L99" s="177">
        <f t="shared" si="2"/>
        <v>0</v>
      </c>
      <c r="M99" s="177" t="e">
        <f t="shared" si="37"/>
        <v>#REF!</v>
      </c>
      <c r="N99" s="250">
        <f t="shared" si="38"/>
        <v>0</v>
      </c>
      <c r="O99" s="185" t="e">
        <f t="shared" si="39"/>
        <v>#REF!</v>
      </c>
      <c r="P99" s="185">
        <f t="shared" si="40"/>
        <v>0</v>
      </c>
      <c r="Q99" s="185" t="e">
        <f t="shared" si="41"/>
        <v>#REF!</v>
      </c>
      <c r="R99" s="185">
        <f t="shared" si="42"/>
        <v>0</v>
      </c>
      <c r="S99" s="185" t="e">
        <f t="shared" si="43"/>
        <v>#REF!</v>
      </c>
      <c r="T99" s="185">
        <f t="shared" si="44"/>
        <v>0</v>
      </c>
      <c r="U99" s="185" t="e">
        <f t="shared" si="45"/>
        <v>#REF!</v>
      </c>
      <c r="V99" s="185">
        <f t="shared" si="46"/>
        <v>0</v>
      </c>
      <c r="W99" s="185" t="e">
        <f t="shared" si="47"/>
        <v>#REF!</v>
      </c>
      <c r="X99" s="185">
        <f t="shared" si="48"/>
        <v>0</v>
      </c>
      <c r="Y99" s="185" t="e">
        <f t="shared" si="49"/>
        <v>#REF!</v>
      </c>
      <c r="Z99" s="251">
        <f t="shared" si="50"/>
        <v>0</v>
      </c>
      <c r="AA99" s="252"/>
    </row>
    <row r="100" spans="1:29" s="238" customFormat="1" ht="15.75" hidden="1" x14ac:dyDescent="0.2">
      <c r="A100" s="177">
        <v>108</v>
      </c>
      <c r="B100" s="177" t="s">
        <v>136</v>
      </c>
      <c r="C100" s="177">
        <v>0</v>
      </c>
      <c r="D100" s="177">
        <v>0</v>
      </c>
      <c r="E100" s="177">
        <v>28</v>
      </c>
      <c r="F100" s="177">
        <v>19</v>
      </c>
      <c r="G100" s="177">
        <f>SUM(E100:F100)</f>
        <v>47</v>
      </c>
      <c r="H100" s="177">
        <v>1.2</v>
      </c>
      <c r="I100" s="177">
        <v>1</v>
      </c>
      <c r="J100" s="177">
        <f t="shared" si="36"/>
        <v>0</v>
      </c>
      <c r="K100" s="177">
        <v>7.8540000000000001</v>
      </c>
      <c r="L100" s="177">
        <f t="shared" si="2"/>
        <v>0</v>
      </c>
      <c r="M100" s="177" t="e">
        <f t="shared" si="37"/>
        <v>#REF!</v>
      </c>
      <c r="N100" s="250">
        <f t="shared" si="38"/>
        <v>0</v>
      </c>
      <c r="O100" s="185" t="e">
        <f t="shared" si="39"/>
        <v>#REF!</v>
      </c>
      <c r="P100" s="185">
        <f t="shared" si="40"/>
        <v>0</v>
      </c>
      <c r="Q100" s="185" t="e">
        <f t="shared" si="41"/>
        <v>#REF!</v>
      </c>
      <c r="R100" s="185">
        <f t="shared" si="42"/>
        <v>0</v>
      </c>
      <c r="S100" s="185" t="e">
        <f t="shared" si="43"/>
        <v>#REF!</v>
      </c>
      <c r="T100" s="185">
        <f t="shared" si="44"/>
        <v>0</v>
      </c>
      <c r="U100" s="185" t="e">
        <f t="shared" si="45"/>
        <v>#REF!</v>
      </c>
      <c r="V100" s="185">
        <f t="shared" si="46"/>
        <v>0</v>
      </c>
      <c r="W100" s="185" t="e">
        <f t="shared" si="47"/>
        <v>#REF!</v>
      </c>
      <c r="X100" s="185">
        <f t="shared" si="48"/>
        <v>0</v>
      </c>
      <c r="Y100" s="185" t="e">
        <f t="shared" si="49"/>
        <v>#REF!</v>
      </c>
      <c r="Z100" s="251">
        <f t="shared" si="50"/>
        <v>0</v>
      </c>
      <c r="AA100" s="252"/>
    </row>
    <row r="101" spans="1:29" s="238" customFormat="1" ht="15.75" hidden="1" x14ac:dyDescent="0.2">
      <c r="A101" s="177">
        <v>108</v>
      </c>
      <c r="B101" s="177" t="s">
        <v>148</v>
      </c>
      <c r="C101" s="177">
        <v>0</v>
      </c>
      <c r="D101" s="177">
        <v>0</v>
      </c>
      <c r="E101" s="177">
        <v>47</v>
      </c>
      <c r="F101" s="177">
        <v>36</v>
      </c>
      <c r="G101" s="177">
        <f>SUM(E101:F101)</f>
        <v>83</v>
      </c>
      <c r="H101" s="177">
        <v>1.1499999999999999</v>
      </c>
      <c r="I101" s="177">
        <v>0.6</v>
      </c>
      <c r="J101" s="177">
        <f t="shared" si="36"/>
        <v>0</v>
      </c>
      <c r="K101" s="177">
        <v>7.8540000000000001</v>
      </c>
      <c r="L101" s="177">
        <f t="shared" si="2"/>
        <v>0</v>
      </c>
      <c r="M101" s="177" t="e">
        <f t="shared" si="37"/>
        <v>#REF!</v>
      </c>
      <c r="N101" s="250">
        <f t="shared" si="38"/>
        <v>0</v>
      </c>
      <c r="O101" s="185" t="e">
        <f t="shared" si="39"/>
        <v>#REF!</v>
      </c>
      <c r="P101" s="185">
        <f t="shared" si="40"/>
        <v>0</v>
      </c>
      <c r="Q101" s="185" t="e">
        <f t="shared" si="41"/>
        <v>#REF!</v>
      </c>
      <c r="R101" s="185">
        <f t="shared" si="42"/>
        <v>0</v>
      </c>
      <c r="S101" s="185" t="e">
        <f t="shared" si="43"/>
        <v>#REF!</v>
      </c>
      <c r="T101" s="185">
        <f t="shared" si="44"/>
        <v>0</v>
      </c>
      <c r="U101" s="185" t="e">
        <f t="shared" si="45"/>
        <v>#REF!</v>
      </c>
      <c r="V101" s="185">
        <f t="shared" si="46"/>
        <v>0</v>
      </c>
      <c r="W101" s="185" t="e">
        <f t="shared" si="47"/>
        <v>#REF!</v>
      </c>
      <c r="X101" s="185">
        <f t="shared" si="48"/>
        <v>0</v>
      </c>
      <c r="Y101" s="185" t="e">
        <f t="shared" si="49"/>
        <v>#REF!</v>
      </c>
      <c r="Z101" s="251">
        <f t="shared" si="50"/>
        <v>0</v>
      </c>
      <c r="AA101" s="252"/>
    </row>
    <row r="102" spans="1:29" s="238" customFormat="1" ht="15.75" hidden="1" x14ac:dyDescent="0.2">
      <c r="A102" s="177">
        <v>89</v>
      </c>
      <c r="B102" s="177" t="s">
        <v>136</v>
      </c>
      <c r="C102" s="177">
        <v>0</v>
      </c>
      <c r="D102" s="177">
        <v>0</v>
      </c>
      <c r="E102" s="177">
        <v>69</v>
      </c>
      <c r="F102" s="177">
        <v>80</v>
      </c>
      <c r="G102" s="177" t="e">
        <f>E102+((F102-E102)/(65-52.5))*((($E$11+$F$11)/2-$G$11)-52.5)</f>
        <v>#REF!</v>
      </c>
      <c r="H102" s="177">
        <v>1.2</v>
      </c>
      <c r="I102" s="177">
        <v>1</v>
      </c>
      <c r="J102" s="177" t="e">
        <f t="shared" si="36"/>
        <v>#REF!</v>
      </c>
      <c r="K102" s="177">
        <v>5.1529999999999996</v>
      </c>
      <c r="L102" s="177">
        <f t="shared" si="2"/>
        <v>0</v>
      </c>
      <c r="M102" s="177" t="e">
        <f t="shared" si="37"/>
        <v>#REF!</v>
      </c>
      <c r="N102" s="250">
        <f t="shared" si="38"/>
        <v>0</v>
      </c>
      <c r="O102" s="185" t="e">
        <f t="shared" si="39"/>
        <v>#REF!</v>
      </c>
      <c r="P102" s="185">
        <f t="shared" si="40"/>
        <v>0</v>
      </c>
      <c r="Q102" s="185" t="e">
        <f t="shared" si="41"/>
        <v>#REF!</v>
      </c>
      <c r="R102" s="185">
        <f t="shared" si="42"/>
        <v>0</v>
      </c>
      <c r="S102" s="185" t="e">
        <f t="shared" si="43"/>
        <v>#REF!</v>
      </c>
      <c r="T102" s="185">
        <f t="shared" si="44"/>
        <v>0</v>
      </c>
      <c r="U102" s="185" t="e">
        <f t="shared" si="45"/>
        <v>#REF!</v>
      </c>
      <c r="V102" s="185">
        <f t="shared" si="46"/>
        <v>0</v>
      </c>
      <c r="W102" s="185" t="e">
        <f t="shared" si="47"/>
        <v>#REF!</v>
      </c>
      <c r="X102" s="185">
        <f t="shared" si="48"/>
        <v>0</v>
      </c>
      <c r="Y102" s="185" t="e">
        <f t="shared" si="49"/>
        <v>#REF!</v>
      </c>
      <c r="Z102" s="251">
        <f t="shared" si="50"/>
        <v>0</v>
      </c>
      <c r="AA102" s="252"/>
    </row>
    <row r="103" spans="1:29" s="238" customFormat="1" ht="15.75" hidden="1" x14ac:dyDescent="0.2">
      <c r="A103" s="177">
        <v>76</v>
      </c>
      <c r="B103" s="177" t="s">
        <v>136</v>
      </c>
      <c r="C103" s="177">
        <v>0</v>
      </c>
      <c r="D103" s="177">
        <v>0</v>
      </c>
      <c r="E103" s="177">
        <v>64</v>
      </c>
      <c r="F103" s="177">
        <v>74</v>
      </c>
      <c r="G103" s="177" t="e">
        <f>E103+((F103-E103)/(65-52.5))*((($E$11+$F$11)/2-$G$11)-52.5)</f>
        <v>#REF!</v>
      </c>
      <c r="H103" s="177">
        <v>1.2</v>
      </c>
      <c r="I103" s="177">
        <v>1</v>
      </c>
      <c r="J103" s="177" t="e">
        <f t="shared" si="36"/>
        <v>#REF!</v>
      </c>
      <c r="K103" s="177">
        <v>3.7389999999999999</v>
      </c>
      <c r="L103" s="177">
        <f t="shared" si="2"/>
        <v>0</v>
      </c>
      <c r="M103" s="177" t="e">
        <f t="shared" si="37"/>
        <v>#REF!</v>
      </c>
      <c r="N103" s="250">
        <f t="shared" si="38"/>
        <v>0</v>
      </c>
      <c r="O103" s="185" t="e">
        <f t="shared" si="39"/>
        <v>#REF!</v>
      </c>
      <c r="P103" s="185">
        <f t="shared" si="40"/>
        <v>0</v>
      </c>
      <c r="Q103" s="185" t="e">
        <f t="shared" si="41"/>
        <v>#REF!</v>
      </c>
      <c r="R103" s="185">
        <f t="shared" si="42"/>
        <v>0</v>
      </c>
      <c r="S103" s="185" t="e">
        <f t="shared" si="43"/>
        <v>#REF!</v>
      </c>
      <c r="T103" s="185">
        <f t="shared" si="44"/>
        <v>0</v>
      </c>
      <c r="U103" s="185" t="e">
        <f t="shared" si="45"/>
        <v>#REF!</v>
      </c>
      <c r="V103" s="185">
        <f t="shared" si="46"/>
        <v>0</v>
      </c>
      <c r="W103" s="185" t="e">
        <f t="shared" si="47"/>
        <v>#REF!</v>
      </c>
      <c r="X103" s="185">
        <f t="shared" si="48"/>
        <v>0</v>
      </c>
      <c r="Y103" s="185" t="e">
        <f t="shared" si="49"/>
        <v>#REF!</v>
      </c>
      <c r="Z103" s="251">
        <f t="shared" si="50"/>
        <v>0</v>
      </c>
      <c r="AA103" s="252"/>
    </row>
    <row r="104" spans="1:29" s="238" customFormat="1" ht="15.75" hidden="1" x14ac:dyDescent="0.2">
      <c r="A104" s="177">
        <v>57</v>
      </c>
      <c r="B104" s="177" t="s">
        <v>136</v>
      </c>
      <c r="C104" s="177">
        <v>0</v>
      </c>
      <c r="D104" s="177">
        <v>0</v>
      </c>
      <c r="E104" s="177">
        <v>56</v>
      </c>
      <c r="F104" s="177">
        <v>65</v>
      </c>
      <c r="G104" s="177" t="e">
        <f>E104+((F104-E104)/(65-52.5))*((($E$11+$F$11)/2-$G$11)-52.5)</f>
        <v>#REF!</v>
      </c>
      <c r="H104" s="177">
        <v>1.2</v>
      </c>
      <c r="I104" s="177">
        <v>1</v>
      </c>
      <c r="J104" s="177" t="e">
        <f t="shared" si="36"/>
        <v>#REF!</v>
      </c>
      <c r="K104" s="253">
        <v>1.9630000000000001</v>
      </c>
      <c r="L104" s="177">
        <f t="shared" si="2"/>
        <v>0</v>
      </c>
      <c r="M104" s="177" t="e">
        <f t="shared" si="37"/>
        <v>#REF!</v>
      </c>
      <c r="N104" s="250">
        <f t="shared" si="38"/>
        <v>0</v>
      </c>
      <c r="O104" s="185" t="e">
        <f t="shared" si="39"/>
        <v>#REF!</v>
      </c>
      <c r="P104" s="185">
        <f t="shared" si="40"/>
        <v>0</v>
      </c>
      <c r="Q104" s="185" t="e">
        <f t="shared" si="41"/>
        <v>#REF!</v>
      </c>
      <c r="R104" s="185">
        <f t="shared" si="42"/>
        <v>0</v>
      </c>
      <c r="S104" s="185" t="e">
        <f t="shared" si="43"/>
        <v>#REF!</v>
      </c>
      <c r="T104" s="185">
        <f t="shared" si="44"/>
        <v>0</v>
      </c>
      <c r="U104" s="185" t="e">
        <f t="shared" si="45"/>
        <v>#REF!</v>
      </c>
      <c r="V104" s="185">
        <f t="shared" si="46"/>
        <v>0</v>
      </c>
      <c r="W104" s="185" t="e">
        <f t="shared" si="47"/>
        <v>#REF!</v>
      </c>
      <c r="X104" s="185">
        <f t="shared" si="48"/>
        <v>0</v>
      </c>
      <c r="Y104" s="185" t="e">
        <f t="shared" si="49"/>
        <v>#REF!</v>
      </c>
      <c r="Z104" s="251">
        <f t="shared" si="50"/>
        <v>0</v>
      </c>
      <c r="AA104" s="252"/>
    </row>
    <row r="105" spans="1:29" s="238" customFormat="1" ht="16.5" hidden="1" thickBot="1" x14ac:dyDescent="0.25">
      <c r="A105" s="253">
        <v>57</v>
      </c>
      <c r="B105" s="253" t="s">
        <v>148</v>
      </c>
      <c r="C105" s="177">
        <v>0</v>
      </c>
      <c r="D105" s="177">
        <v>0</v>
      </c>
      <c r="E105" s="253">
        <v>38</v>
      </c>
      <c r="F105" s="253">
        <v>29</v>
      </c>
      <c r="G105" s="253">
        <f>SUM(E105:F105)</f>
        <v>67</v>
      </c>
      <c r="H105" s="253">
        <v>1.1499999999999999</v>
      </c>
      <c r="I105" s="253">
        <v>0.6</v>
      </c>
      <c r="J105" s="253">
        <f t="shared" si="36"/>
        <v>0</v>
      </c>
      <c r="K105" s="253">
        <v>1.9630000000000001</v>
      </c>
      <c r="L105" s="253">
        <f t="shared" si="2"/>
        <v>0</v>
      </c>
      <c r="M105" s="177" t="e">
        <f t="shared" si="37"/>
        <v>#REF!</v>
      </c>
      <c r="N105" s="250">
        <f t="shared" si="38"/>
        <v>0</v>
      </c>
      <c r="O105" s="185" t="e">
        <f t="shared" si="39"/>
        <v>#REF!</v>
      </c>
      <c r="P105" s="185">
        <f t="shared" si="40"/>
        <v>0</v>
      </c>
      <c r="Q105" s="185" t="e">
        <f t="shared" si="41"/>
        <v>#REF!</v>
      </c>
      <c r="R105" s="185">
        <f t="shared" si="42"/>
        <v>0</v>
      </c>
      <c r="S105" s="185" t="e">
        <f t="shared" si="43"/>
        <v>#REF!</v>
      </c>
      <c r="T105" s="185">
        <f t="shared" si="44"/>
        <v>0</v>
      </c>
      <c r="U105" s="185" t="e">
        <f t="shared" si="45"/>
        <v>#REF!</v>
      </c>
      <c r="V105" s="185">
        <f t="shared" si="46"/>
        <v>0</v>
      </c>
      <c r="W105" s="185" t="e">
        <f t="shared" si="47"/>
        <v>#REF!</v>
      </c>
      <c r="X105" s="185">
        <f t="shared" si="48"/>
        <v>0</v>
      </c>
      <c r="Y105" s="185" t="e">
        <f t="shared" si="49"/>
        <v>#REF!</v>
      </c>
      <c r="Z105" s="251">
        <f t="shared" si="50"/>
        <v>0</v>
      </c>
      <c r="AA105" s="254"/>
    </row>
    <row r="106" spans="1:29" s="238" customFormat="1" ht="15.75" hidden="1" x14ac:dyDescent="0.2">
      <c r="A106" s="256" t="s">
        <v>139</v>
      </c>
      <c r="B106" s="257"/>
      <c r="C106" s="257">
        <f>SUM(C93:C105)</f>
        <v>0</v>
      </c>
      <c r="D106" s="257">
        <f>SUM(D93:D105)</f>
        <v>0</v>
      </c>
      <c r="E106" s="258"/>
      <c r="F106" s="258"/>
      <c r="G106" s="258"/>
      <c r="H106" s="258"/>
      <c r="I106" s="258"/>
      <c r="J106" s="258"/>
      <c r="K106" s="258"/>
      <c r="L106" s="258"/>
      <c r="M106" s="258" t="e">
        <f t="shared" ref="M106:Z106" si="51">SUM(M93:M105)</f>
        <v>#REF!</v>
      </c>
      <c r="N106" s="259">
        <f t="shared" si="51"/>
        <v>0</v>
      </c>
      <c r="O106" s="260" t="e">
        <f t="shared" si="51"/>
        <v>#REF!</v>
      </c>
      <c r="P106" s="260">
        <f t="shared" si="51"/>
        <v>0</v>
      </c>
      <c r="Q106" s="260" t="e">
        <f t="shared" si="51"/>
        <v>#REF!</v>
      </c>
      <c r="R106" s="260">
        <f t="shared" si="51"/>
        <v>0</v>
      </c>
      <c r="S106" s="260" t="e">
        <f t="shared" si="51"/>
        <v>#REF!</v>
      </c>
      <c r="T106" s="260">
        <f t="shared" si="51"/>
        <v>0</v>
      </c>
      <c r="U106" s="260" t="e">
        <f t="shared" si="51"/>
        <v>#REF!</v>
      </c>
      <c r="V106" s="260">
        <f t="shared" si="51"/>
        <v>0</v>
      </c>
      <c r="W106" s="260" t="e">
        <f t="shared" si="51"/>
        <v>#REF!</v>
      </c>
      <c r="X106" s="260">
        <f t="shared" si="51"/>
        <v>0</v>
      </c>
      <c r="Y106" s="260" t="e">
        <f t="shared" si="51"/>
        <v>#REF!</v>
      </c>
      <c r="Z106" s="261">
        <f t="shared" si="51"/>
        <v>0</v>
      </c>
      <c r="AA106" s="249"/>
    </row>
    <row r="107" spans="1:29" s="238" customFormat="1" ht="16.5" hidden="1" thickBot="1" x14ac:dyDescent="0.3">
      <c r="A107" s="264"/>
      <c r="B107" s="265" t="s">
        <v>140</v>
      </c>
      <c r="C107" s="265">
        <f>C94+C97+C101+C105</f>
        <v>0</v>
      </c>
      <c r="D107" s="265">
        <f>D94+D97+D101+D105</f>
        <v>0</v>
      </c>
      <c r="E107" s="266"/>
      <c r="F107" s="266"/>
      <c r="G107" s="266"/>
      <c r="H107" s="266"/>
      <c r="I107" s="266"/>
      <c r="J107" s="266"/>
      <c r="K107" s="266"/>
      <c r="L107" s="266"/>
      <c r="M107" s="266"/>
      <c r="N107" s="267" t="e">
        <f>ROUND(((M106+N106)*31*24*0.000001),2)</f>
        <v>#REF!</v>
      </c>
      <c r="O107" s="281"/>
      <c r="P107" s="281" t="e">
        <f>ROUND(((O106+P106)*28*24*0.000001),2)</f>
        <v>#REF!</v>
      </c>
      <c r="Q107" s="281"/>
      <c r="R107" s="281" t="e">
        <f>ROUND(((Q106+R106)*31*24*0.000001),2)</f>
        <v>#REF!</v>
      </c>
      <c r="S107" s="281"/>
      <c r="T107" s="281" t="e">
        <f>ROUND(((S106+T106)*13*24*0.000001),2)</f>
        <v>#REF!</v>
      </c>
      <c r="U107" s="281"/>
      <c r="V107" s="281" t="e">
        <f>ROUND(((U106+V106)*17*24*0.000001),2)</f>
        <v>#REF!</v>
      </c>
      <c r="W107" s="281"/>
      <c r="X107" s="281" t="e">
        <f>ROUND(((W106+X106)*30*24*0.000001),2)</f>
        <v>#REF!</v>
      </c>
      <c r="Y107" s="281"/>
      <c r="Z107" s="282" t="e">
        <f>ROUND(((Y106+Z106)*31*24*0.000001),2)</f>
        <v>#REF!</v>
      </c>
      <c r="AA107" s="268" t="e">
        <f>N107+P107+R107+T107+V107+X107+Z107</f>
        <v>#REF!</v>
      </c>
      <c r="AC107" s="238">
        <v>914.49</v>
      </c>
    </row>
    <row r="108" spans="1:29" s="238" customFormat="1" ht="15.75" hidden="1" x14ac:dyDescent="0.2">
      <c r="A108" s="283" t="s">
        <v>149</v>
      </c>
      <c r="B108" s="284"/>
      <c r="C108" s="284"/>
      <c r="D108" s="284"/>
      <c r="E108" s="284"/>
      <c r="F108" s="284"/>
      <c r="G108" s="271"/>
      <c r="H108" s="284"/>
      <c r="I108" s="284"/>
      <c r="J108" s="271"/>
      <c r="K108" s="284"/>
      <c r="L108" s="271"/>
      <c r="M108" s="271"/>
      <c r="N108" s="272"/>
      <c r="O108" s="273"/>
      <c r="P108" s="273"/>
      <c r="Q108" s="273"/>
      <c r="R108" s="273"/>
      <c r="S108" s="273"/>
      <c r="T108" s="273"/>
      <c r="U108" s="273"/>
      <c r="V108" s="273"/>
      <c r="W108" s="273"/>
      <c r="X108" s="273"/>
      <c r="Y108" s="273"/>
      <c r="Z108" s="274"/>
      <c r="AA108" s="275" t="s">
        <v>150</v>
      </c>
    </row>
    <row r="109" spans="1:29" s="238" customFormat="1" ht="15.75" hidden="1" x14ac:dyDescent="0.2">
      <c r="A109" s="177">
        <v>159</v>
      </c>
      <c r="B109" s="177" t="s">
        <v>136</v>
      </c>
      <c r="C109" s="177">
        <v>0</v>
      </c>
      <c r="D109" s="177">
        <v>0</v>
      </c>
      <c r="E109" s="177">
        <v>94</v>
      </c>
      <c r="F109" s="177">
        <v>107</v>
      </c>
      <c r="G109" s="177" t="e">
        <f>E109+((F109-E109)/(65-52.5))*((($E$11+$F$11)/2-$G$11)-52.5)</f>
        <v>#REF!</v>
      </c>
      <c r="H109" s="177">
        <v>1.2</v>
      </c>
      <c r="I109" s="177">
        <v>1</v>
      </c>
      <c r="J109" s="177" t="e">
        <f>H109*C109*G109*I109</f>
        <v>#REF!</v>
      </c>
      <c r="K109" s="177">
        <v>17.670000000000002</v>
      </c>
      <c r="L109" s="177">
        <f t="shared" si="2"/>
        <v>0</v>
      </c>
      <c r="M109" s="177" t="e">
        <f>J109*(($E$4+$F$4-2*$G$4)/($E$11+$F$11-2*$G$11))</f>
        <v>#REF!</v>
      </c>
      <c r="N109" s="250">
        <f>0.00125*1*L109*($E$4+$F$4-2*5)*1000</f>
        <v>0</v>
      </c>
      <c r="O109" s="185" t="e">
        <f>J109*(($E$5+$F$5-2*$G$5)/($E$11+$F$11-2*$G$11))</f>
        <v>#REF!</v>
      </c>
      <c r="P109" s="185">
        <f>0.00125*1*L109*($E$5+$F$5-2*5)*1000</f>
        <v>0</v>
      </c>
      <c r="Q109" s="185" t="e">
        <f>J109*(($E$6+$F$6-2*$G$6)/($E$11+$F$11-2*$G$11))</f>
        <v>#REF!</v>
      </c>
      <c r="R109" s="185">
        <f>0.00125*1*L109*($E$6+$F$6-2*5)*1000</f>
        <v>0</v>
      </c>
      <c r="S109" s="185" t="e">
        <f>J109*(($E$7+$F$7-2*$G$7)/($E$11+$F$11-2*$G$11))</f>
        <v>#REF!</v>
      </c>
      <c r="T109" s="185">
        <f>0.00125*1*L109*($E$7+$F$7-2*5)*1000</f>
        <v>0</v>
      </c>
      <c r="U109" s="185" t="e">
        <f>J109*(($E$8+$F$8-2*$G$8)/($E$11+$F$11-2*$G$11))</f>
        <v>#REF!</v>
      </c>
      <c r="V109" s="185">
        <f>0.00125*1*L109*($E$8+$F$8-2*5)*1000</f>
        <v>0</v>
      </c>
      <c r="W109" s="185" t="e">
        <f>J109*(($E$9+$F$9-2*$G$9)/($E$11+$F$11-2*$G$11))</f>
        <v>#REF!</v>
      </c>
      <c r="X109" s="185">
        <f>0.00125*1*L109*($E$9+$F$9-2*5)*1000</f>
        <v>0</v>
      </c>
      <c r="Y109" s="185" t="e">
        <f>J109*(($E$10+$F$10-2*$G$10)/($E$11+$F$11-2*$G$11))</f>
        <v>#REF!</v>
      </c>
      <c r="Z109" s="251">
        <f>0.00125*1*L109*($E$10+$F$10-2*5)*1000</f>
        <v>0</v>
      </c>
      <c r="AA109" s="252"/>
    </row>
    <row r="110" spans="1:29" s="238" customFormat="1" ht="15.75" hidden="1" x14ac:dyDescent="0.2">
      <c r="A110" s="177">
        <v>133</v>
      </c>
      <c r="B110" s="177" t="s">
        <v>148</v>
      </c>
      <c r="C110" s="177">
        <v>0</v>
      </c>
      <c r="D110" s="177">
        <v>0</v>
      </c>
      <c r="E110" s="177">
        <v>53</v>
      </c>
      <c r="F110" s="177">
        <v>40</v>
      </c>
      <c r="G110" s="177">
        <f>SUM(E110:F110)</f>
        <v>93</v>
      </c>
      <c r="H110" s="177">
        <v>1.1499999999999999</v>
      </c>
      <c r="I110" s="177">
        <v>0.6</v>
      </c>
      <c r="J110" s="177">
        <f>H110*C110*G110*I110</f>
        <v>0</v>
      </c>
      <c r="K110" s="177">
        <v>12.21</v>
      </c>
      <c r="L110" s="177">
        <f t="shared" si="2"/>
        <v>0</v>
      </c>
      <c r="M110" s="177" t="e">
        <f>J110*(($E$4+$F$4-2*$G$4)/($E$11+$F$11-2*$G$11))</f>
        <v>#REF!</v>
      </c>
      <c r="N110" s="250">
        <f>0.00125*1*L110*($E$4+$F$4-2*5)*1000</f>
        <v>0</v>
      </c>
      <c r="O110" s="185" t="e">
        <f>J110*(($E$5+$F$5-2*$G$5)/($E$11+$F$11-2*$G$11))</f>
        <v>#REF!</v>
      </c>
      <c r="P110" s="185">
        <f>0.00125*1*L110*($E$5+$F$5-2*5)*1000</f>
        <v>0</v>
      </c>
      <c r="Q110" s="185" t="e">
        <f>J110*(($E$6+$F$6-2*$G$6)/($E$11+$F$11-2*$G$11))</f>
        <v>#REF!</v>
      </c>
      <c r="R110" s="185">
        <f>0.00125*1*L110*($E$6+$F$6-2*5)*1000</f>
        <v>0</v>
      </c>
      <c r="S110" s="185" t="e">
        <f>J110*(($E$7+$F$7-2*$G$7)/($E$11+$F$11-2*$G$11))</f>
        <v>#REF!</v>
      </c>
      <c r="T110" s="185">
        <f>0.00125*1*L110*($E$7+$F$7-2*5)*1000</f>
        <v>0</v>
      </c>
      <c r="U110" s="185" t="e">
        <f>J110*(($E$8+$F$8-2*$G$8)/($E$11+$F$11-2*$G$11))</f>
        <v>#REF!</v>
      </c>
      <c r="V110" s="185">
        <f>0.00125*1*L110*($E$8+$F$8-2*5)*1000</f>
        <v>0</v>
      </c>
      <c r="W110" s="185" t="e">
        <f>J110*(($E$9+$F$9-2*$G$9)/($E$11+$F$11-2*$G$11))</f>
        <v>#REF!</v>
      </c>
      <c r="X110" s="185">
        <f>0.00125*1*L110*($E$9+$F$9-2*5)*1000</f>
        <v>0</v>
      </c>
      <c r="Y110" s="185" t="e">
        <f>J110*(($E$10+$F$10-2*$G$10)/($E$11+$F$11-2*$G$11))</f>
        <v>#REF!</v>
      </c>
      <c r="Z110" s="251">
        <f>0.00125*1*L110*($E$10+$F$10-2*5)*1000</f>
        <v>0</v>
      </c>
      <c r="AA110" s="252"/>
    </row>
    <row r="111" spans="1:29" s="238" customFormat="1" ht="15.75" hidden="1" x14ac:dyDescent="0.2">
      <c r="A111" s="177">
        <v>108</v>
      </c>
      <c r="B111" s="177" t="s">
        <v>136</v>
      </c>
      <c r="C111" s="177">
        <v>0</v>
      </c>
      <c r="D111" s="177">
        <v>0</v>
      </c>
      <c r="E111" s="177">
        <v>76</v>
      </c>
      <c r="F111" s="177">
        <v>88</v>
      </c>
      <c r="G111" s="177" t="e">
        <f>E111+((F111-E111)/(65-52.5))*((($E$11+$F$11)/2-$G$11)-52.5)</f>
        <v>#REF!</v>
      </c>
      <c r="H111" s="177">
        <v>1.2</v>
      </c>
      <c r="I111" s="177">
        <v>1</v>
      </c>
      <c r="J111" s="177" t="e">
        <f>H111*C111*G111*I111</f>
        <v>#REF!</v>
      </c>
      <c r="K111" s="177">
        <v>7.8540000000000001</v>
      </c>
      <c r="L111" s="177">
        <f t="shared" si="2"/>
        <v>0</v>
      </c>
      <c r="M111" s="177" t="e">
        <f>J111*(($E$4+$F$4-2*$G$4)/($E$11+$F$11-2*$G$11))</f>
        <v>#REF!</v>
      </c>
      <c r="N111" s="250">
        <f>0.00125*1*L111*($E$4+$F$4-2*5)*1000</f>
        <v>0</v>
      </c>
      <c r="O111" s="185" t="e">
        <f>J111*(($E$5+$F$5-2*$G$5)/($E$11+$F$11-2*$G$11))</f>
        <v>#REF!</v>
      </c>
      <c r="P111" s="185">
        <f>0.00125*1*L111*($E$5+$F$5-2*5)*1000</f>
        <v>0</v>
      </c>
      <c r="Q111" s="185" t="e">
        <f>J111*(($E$6+$F$6-2*$G$6)/($E$11+$F$11-2*$G$11))</f>
        <v>#REF!</v>
      </c>
      <c r="R111" s="185">
        <f>0.00125*1*L111*($E$6+$F$6-2*5)*1000</f>
        <v>0</v>
      </c>
      <c r="S111" s="185" t="e">
        <f>J111*(($E$7+$F$7-2*$G$7)/($E$11+$F$11-2*$G$11))</f>
        <v>#REF!</v>
      </c>
      <c r="T111" s="185">
        <f>0.00125*1*L111*($E$7+$F$7-2*5)*1000</f>
        <v>0</v>
      </c>
      <c r="U111" s="185" t="e">
        <f>J111*(($E$8+$F$8-2*$G$8)/($E$11+$F$11-2*$G$11))</f>
        <v>#REF!</v>
      </c>
      <c r="V111" s="185">
        <f>0.00125*1*L111*($E$8+$F$8-2*5)*1000</f>
        <v>0</v>
      </c>
      <c r="W111" s="185" t="e">
        <f>J111*(($E$9+$F$9-2*$G$9)/($E$11+$F$11-2*$G$11))</f>
        <v>#REF!</v>
      </c>
      <c r="X111" s="185">
        <f>0.00125*1*L111*($E$9+$F$9-2*5)*1000</f>
        <v>0</v>
      </c>
      <c r="Y111" s="185" t="e">
        <f>J111*(($E$10+$F$10-2*$G$10)/($E$11+$F$11-2*$G$11))</f>
        <v>#REF!</v>
      </c>
      <c r="Z111" s="251">
        <f>0.00125*1*L111*($E$10+$F$10-2*5)*1000</f>
        <v>0</v>
      </c>
      <c r="AA111" s="252"/>
    </row>
    <row r="112" spans="1:29" s="238" customFormat="1" ht="15.75" hidden="1" x14ac:dyDescent="0.2">
      <c r="A112" s="253">
        <v>108</v>
      </c>
      <c r="B112" s="177" t="s">
        <v>136</v>
      </c>
      <c r="C112" s="177">
        <v>0</v>
      </c>
      <c r="D112" s="177">
        <v>0</v>
      </c>
      <c r="E112" s="253">
        <v>28</v>
      </c>
      <c r="F112" s="253">
        <v>19</v>
      </c>
      <c r="G112" s="253">
        <f>SUM(E112:F112)</f>
        <v>47</v>
      </c>
      <c r="H112" s="177">
        <v>1.2</v>
      </c>
      <c r="I112" s="177">
        <v>1</v>
      </c>
      <c r="J112" s="177">
        <f>H112*C112*G112*I112</f>
        <v>0</v>
      </c>
      <c r="K112" s="177">
        <v>7.8540000000000001</v>
      </c>
      <c r="L112" s="177">
        <f t="shared" si="2"/>
        <v>0</v>
      </c>
      <c r="M112" s="177" t="e">
        <f>J112*(($E$4+$F$4-2*$G$4)/($E$11+$F$11-2*$G$11))</f>
        <v>#REF!</v>
      </c>
      <c r="N112" s="250">
        <f>0.00125*1*L112*($E$4+$F$4-2*5)*1000</f>
        <v>0</v>
      </c>
      <c r="O112" s="185" t="e">
        <f>J112*(($E$5+$F$5-2*$G$5)/($E$11+$F$11-2*$G$11))</f>
        <v>#REF!</v>
      </c>
      <c r="P112" s="185">
        <f>0.00125*1*L112*($E$5+$F$5-2*5)*1000</f>
        <v>0</v>
      </c>
      <c r="Q112" s="185" t="e">
        <f>J112*(($E$6+$F$6-2*$G$6)/($E$11+$F$11-2*$G$11))</f>
        <v>#REF!</v>
      </c>
      <c r="R112" s="185">
        <f>0.00125*1*L112*($E$6+$F$6-2*5)*1000</f>
        <v>0</v>
      </c>
      <c r="S112" s="185" t="e">
        <f>J112*(($E$7+$F$7-2*$G$7)/($E$11+$F$11-2*$G$11))</f>
        <v>#REF!</v>
      </c>
      <c r="T112" s="185">
        <f>0.00125*1*L112*($E$7+$F$7-2*5)*1000</f>
        <v>0</v>
      </c>
      <c r="U112" s="185" t="e">
        <f>J112*(($E$8+$F$8-2*$G$8)/($E$11+$F$11-2*$G$11))</f>
        <v>#REF!</v>
      </c>
      <c r="V112" s="185">
        <f>0.00125*1*L112*($E$8+$F$8-2*5)*1000</f>
        <v>0</v>
      </c>
      <c r="W112" s="185" t="e">
        <f>J112*(($E$9+$F$9-2*$G$9)/($E$11+$F$11-2*$G$11))</f>
        <v>#REF!</v>
      </c>
      <c r="X112" s="185">
        <f>0.00125*1*L112*($E$9+$F$9-2*5)*1000</f>
        <v>0</v>
      </c>
      <c r="Y112" s="185" t="e">
        <f>J112*(($E$10+$F$10-2*$G$10)/($E$11+$F$11-2*$G$11))</f>
        <v>#REF!</v>
      </c>
      <c r="Z112" s="251">
        <f>0.00125*1*L112*($E$10+$F$10-2*5)*1000</f>
        <v>0</v>
      </c>
      <c r="AA112" s="254"/>
    </row>
    <row r="113" spans="1:27" s="238" customFormat="1" ht="16.5" hidden="1" thickBot="1" x14ac:dyDescent="0.25">
      <c r="A113" s="253">
        <v>108</v>
      </c>
      <c r="B113" s="253" t="s">
        <v>148</v>
      </c>
      <c r="C113" s="177">
        <v>0</v>
      </c>
      <c r="D113" s="177">
        <v>0</v>
      </c>
      <c r="E113" s="253">
        <v>47</v>
      </c>
      <c r="F113" s="253">
        <v>36</v>
      </c>
      <c r="G113" s="253">
        <f>SUM(E113:F113)</f>
        <v>83</v>
      </c>
      <c r="H113" s="253">
        <v>1.1499999999999999</v>
      </c>
      <c r="I113" s="253">
        <v>0.6</v>
      </c>
      <c r="J113" s="253">
        <f>H113*C113*G113*I113</f>
        <v>0</v>
      </c>
      <c r="K113" s="253">
        <v>7.8540000000000001</v>
      </c>
      <c r="L113" s="253">
        <f t="shared" si="2"/>
        <v>0</v>
      </c>
      <c r="M113" s="177" t="e">
        <f>J113*(($E$4+$F$4-2*$G$4)/($E$11+$F$11-2*$G$11))</f>
        <v>#REF!</v>
      </c>
      <c r="N113" s="250">
        <f>0.00125*1*L113*($E$4+$F$4-2*5)*1000</f>
        <v>0</v>
      </c>
      <c r="O113" s="185" t="e">
        <f>J113*(($E$5+$F$5-2*$G$5)/($E$11+$F$11-2*$G$11))</f>
        <v>#REF!</v>
      </c>
      <c r="P113" s="185">
        <f>0.00125*1*L113*($E$5+$F$5-2*5)*1000</f>
        <v>0</v>
      </c>
      <c r="Q113" s="185" t="e">
        <f>J113*(($E$6+$F$6-2*$G$6)/($E$11+$F$11-2*$G$11))</f>
        <v>#REF!</v>
      </c>
      <c r="R113" s="185">
        <f>0.00125*1*L113*($E$6+$F$6-2*5)*1000</f>
        <v>0</v>
      </c>
      <c r="S113" s="185" t="e">
        <f>J113*(($E$7+$F$7-2*$G$7)/($E$11+$F$11-2*$G$11))</f>
        <v>#REF!</v>
      </c>
      <c r="T113" s="185">
        <f>0.00125*1*L113*($E$7+$F$7-2*5)*1000</f>
        <v>0</v>
      </c>
      <c r="U113" s="185" t="e">
        <f>J113*(($E$8+$F$8-2*$G$8)/($E$11+$F$11-2*$G$11))</f>
        <v>#REF!</v>
      </c>
      <c r="V113" s="185">
        <f>0.00125*1*L113*($E$8+$F$8-2*5)*1000</f>
        <v>0</v>
      </c>
      <c r="W113" s="185" t="e">
        <f>J113*(($E$9+$F$9-2*$G$9)/($E$11+$F$11-2*$G$11))</f>
        <v>#REF!</v>
      </c>
      <c r="X113" s="185">
        <f>0.00125*1*L113*($E$9+$F$9-2*5)*1000</f>
        <v>0</v>
      </c>
      <c r="Y113" s="185" t="e">
        <f>J113*(($E$10+$F$10-2*$G$10)/($E$11+$F$11-2*$G$11))</f>
        <v>#REF!</v>
      </c>
      <c r="Z113" s="251">
        <f>0.00125*1*L113*($E$10+$F$10-2*5)*1000</f>
        <v>0</v>
      </c>
      <c r="AA113" s="254"/>
    </row>
    <row r="114" spans="1:27" s="238" customFormat="1" ht="15.75" hidden="1" x14ac:dyDescent="0.2">
      <c r="A114" s="256" t="s">
        <v>139</v>
      </c>
      <c r="B114" s="258"/>
      <c r="C114" s="257">
        <f>SUM(C109:C113)</f>
        <v>0</v>
      </c>
      <c r="D114" s="257">
        <f>SUM(D109:D113)</f>
        <v>0</v>
      </c>
      <c r="E114" s="258"/>
      <c r="F114" s="258"/>
      <c r="G114" s="258"/>
      <c r="H114" s="258"/>
      <c r="I114" s="258"/>
      <c r="J114" s="258"/>
      <c r="K114" s="258"/>
      <c r="L114" s="258"/>
      <c r="M114" s="258" t="e">
        <f t="shared" ref="M114:Z114" si="52">SUM(M109:M113)</f>
        <v>#REF!</v>
      </c>
      <c r="N114" s="259">
        <f t="shared" si="52"/>
        <v>0</v>
      </c>
      <c r="O114" s="260" t="e">
        <f t="shared" si="52"/>
        <v>#REF!</v>
      </c>
      <c r="P114" s="260">
        <f t="shared" si="52"/>
        <v>0</v>
      </c>
      <c r="Q114" s="260" t="e">
        <f t="shared" si="52"/>
        <v>#REF!</v>
      </c>
      <c r="R114" s="260">
        <f t="shared" si="52"/>
        <v>0</v>
      </c>
      <c r="S114" s="260" t="e">
        <f t="shared" si="52"/>
        <v>#REF!</v>
      </c>
      <c r="T114" s="260">
        <f t="shared" si="52"/>
        <v>0</v>
      </c>
      <c r="U114" s="260" t="e">
        <f t="shared" si="52"/>
        <v>#REF!</v>
      </c>
      <c r="V114" s="260">
        <f t="shared" si="52"/>
        <v>0</v>
      </c>
      <c r="W114" s="260" t="e">
        <f t="shared" si="52"/>
        <v>#REF!</v>
      </c>
      <c r="X114" s="260">
        <f t="shared" si="52"/>
        <v>0</v>
      </c>
      <c r="Y114" s="260" t="e">
        <f t="shared" si="52"/>
        <v>#REF!</v>
      </c>
      <c r="Z114" s="261">
        <f t="shared" si="52"/>
        <v>0</v>
      </c>
      <c r="AA114" s="249"/>
    </row>
    <row r="115" spans="1:27" s="238" customFormat="1" ht="16.5" hidden="1" thickBot="1" x14ac:dyDescent="0.3">
      <c r="A115" s="277"/>
      <c r="B115" s="265" t="s">
        <v>140</v>
      </c>
      <c r="C115" s="265">
        <v>0</v>
      </c>
      <c r="D115" s="265">
        <v>0</v>
      </c>
      <c r="E115" s="266"/>
      <c r="F115" s="266"/>
      <c r="G115" s="266"/>
      <c r="H115" s="266"/>
      <c r="I115" s="266"/>
      <c r="J115" s="266"/>
      <c r="K115" s="266"/>
      <c r="L115" s="266"/>
      <c r="M115" s="266"/>
      <c r="N115" s="267" t="e">
        <f>ROUND(((M114+N114)*31*24*0.000001),2)</f>
        <v>#REF!</v>
      </c>
      <c r="O115" s="281"/>
      <c r="P115" s="281" t="e">
        <f>ROUND(((O114+P114)*28*24*0.000001),2)</f>
        <v>#REF!</v>
      </c>
      <c r="Q115" s="281"/>
      <c r="R115" s="281" t="e">
        <f>ROUND(((Q114+R114)*31*24*0.000001),2)</f>
        <v>#REF!</v>
      </c>
      <c r="S115" s="281"/>
      <c r="T115" s="281" t="e">
        <f>ROUND(((S114+T114)*13*24*0.000001),2)</f>
        <v>#REF!</v>
      </c>
      <c r="U115" s="281"/>
      <c r="V115" s="281" t="e">
        <f>ROUND(((U114+V114)*17*24*0.000001),2)</f>
        <v>#REF!</v>
      </c>
      <c r="W115" s="281"/>
      <c r="X115" s="281" t="e">
        <f>ROUND(((W114+X114)*30*24*0.000001),2)</f>
        <v>#REF!</v>
      </c>
      <c r="Y115" s="281"/>
      <c r="Z115" s="282" t="e">
        <f>ROUND(((Y114+Z114)*31*24*0.000001),2)</f>
        <v>#REF!</v>
      </c>
      <c r="AA115" s="268" t="e">
        <f>N115+P115+R115+T115+V115+X115+Z115</f>
        <v>#REF!</v>
      </c>
    </row>
    <row r="116" spans="1:27" s="238" customFormat="1" ht="15.75" hidden="1" x14ac:dyDescent="0.2">
      <c r="A116" s="283" t="s">
        <v>151</v>
      </c>
      <c r="B116" s="284"/>
      <c r="C116" s="284"/>
      <c r="D116" s="284"/>
      <c r="E116" s="284"/>
      <c r="F116" s="284"/>
      <c r="G116" s="271"/>
      <c r="H116" s="284"/>
      <c r="I116" s="284"/>
      <c r="J116" s="271"/>
      <c r="K116" s="284"/>
      <c r="L116" s="271"/>
      <c r="M116" s="271"/>
      <c r="N116" s="272"/>
      <c r="O116" s="273"/>
      <c r="P116" s="273"/>
      <c r="Q116" s="273"/>
      <c r="R116" s="273"/>
      <c r="S116" s="273"/>
      <c r="T116" s="273"/>
      <c r="U116" s="273"/>
      <c r="V116" s="273"/>
      <c r="W116" s="273"/>
      <c r="X116" s="273"/>
      <c r="Y116" s="273"/>
      <c r="Z116" s="274"/>
      <c r="AA116" s="275" t="s">
        <v>152</v>
      </c>
    </row>
    <row r="117" spans="1:27" s="238" customFormat="1" ht="15.75" hidden="1" x14ac:dyDescent="0.2">
      <c r="A117" s="177">
        <v>219</v>
      </c>
      <c r="B117" s="177" t="s">
        <v>136</v>
      </c>
      <c r="C117" s="177">
        <v>0</v>
      </c>
      <c r="D117" s="177">
        <v>0</v>
      </c>
      <c r="E117" s="177">
        <v>41</v>
      </c>
      <c r="F117" s="177">
        <v>27</v>
      </c>
      <c r="G117" s="177">
        <f>SUM(E117:F117)</f>
        <v>68</v>
      </c>
      <c r="H117" s="177">
        <v>1.2</v>
      </c>
      <c r="I117" s="177">
        <v>1</v>
      </c>
      <c r="J117" s="177">
        <f>H117*C117*G117*I117</f>
        <v>0</v>
      </c>
      <c r="K117" s="177">
        <v>32.36</v>
      </c>
      <c r="L117" s="177">
        <f t="shared" si="2"/>
        <v>0</v>
      </c>
      <c r="M117" s="177" t="e">
        <f>J117*(($E$4+$F$4-2*$G$4)/($E$11+$F$11-2*$G$11))</f>
        <v>#REF!</v>
      </c>
      <c r="N117" s="250">
        <f>0.00125*1*L117*($E$4+$F$4-2*5)*1000</f>
        <v>0</v>
      </c>
      <c r="O117" s="185" t="e">
        <f>J117*(($E$5+$F$5-2*$G$5)/($E$11+$F$11-2*$G$11))</f>
        <v>#REF!</v>
      </c>
      <c r="P117" s="185">
        <f>0.00125*1*L117*($E$5+$F$5-2*5)*1000</f>
        <v>0</v>
      </c>
      <c r="Q117" s="185" t="e">
        <f>J117*(($E$6+$F$6-2*$G$6)/($E$11+$F$11-2*$G$11))</f>
        <v>#REF!</v>
      </c>
      <c r="R117" s="185">
        <f>0.00125*1*L117*($E$6+$F$6-2*5)*1000</f>
        <v>0</v>
      </c>
      <c r="S117" s="185" t="e">
        <f>J117*(($E$7+$F$7-2*$G$7)/($E$11+$F$11-2*$G$11))</f>
        <v>#REF!</v>
      </c>
      <c r="T117" s="185">
        <f>0.00125*1*L117*($E$7+$F$7-2*5)*1000</f>
        <v>0</v>
      </c>
      <c r="U117" s="185" t="e">
        <f>J117*(($E$8+$F$8-2*$G$8)/($E$11+$F$11-2*$G$11))</f>
        <v>#REF!</v>
      </c>
      <c r="V117" s="185">
        <f>0.00125*1*L117*($E$8+$F$8-2*5)*1000</f>
        <v>0</v>
      </c>
      <c r="W117" s="185" t="e">
        <f>J117*(($E$9+$F$9-2*$G$9)/($E$11+$F$11-2*$G$11))</f>
        <v>#REF!</v>
      </c>
      <c r="X117" s="185">
        <f>0.00125*1*L117*($E$9+$F$9-2*5)*1000</f>
        <v>0</v>
      </c>
      <c r="Y117" s="185" t="e">
        <f>J117*(($E$10+$F$10-2*$G$10)/($E$11+$F$11-2*$G$11))</f>
        <v>#REF!</v>
      </c>
      <c r="Z117" s="251">
        <f>0.00125*1*L117*($E$10+$F$10-2*5)*1000</f>
        <v>0</v>
      </c>
      <c r="AA117" s="252"/>
    </row>
    <row r="118" spans="1:27" s="238" customFormat="1" ht="15.75" hidden="1" x14ac:dyDescent="0.2">
      <c r="A118" s="177">
        <v>159</v>
      </c>
      <c r="B118" s="177" t="s">
        <v>136</v>
      </c>
      <c r="C118" s="177">
        <v>0</v>
      </c>
      <c r="D118" s="177">
        <v>0</v>
      </c>
      <c r="E118" s="177">
        <v>94</v>
      </c>
      <c r="F118" s="177">
        <v>107</v>
      </c>
      <c r="G118" s="177" t="e">
        <f>E118+((F118-E118)/(65-52.5))*((($E$11+$F$11)/2-$G$11)-52.5)</f>
        <v>#REF!</v>
      </c>
      <c r="H118" s="177">
        <v>1.2</v>
      </c>
      <c r="I118" s="177">
        <v>1</v>
      </c>
      <c r="J118" s="177" t="e">
        <f>H118*C118*G118*I118</f>
        <v>#REF!</v>
      </c>
      <c r="K118" s="177">
        <v>17.670000000000002</v>
      </c>
      <c r="L118" s="177">
        <f t="shared" si="2"/>
        <v>0</v>
      </c>
      <c r="M118" s="177" t="e">
        <f>J118*(($E$4+$F$4-2*$G$4)/($E$11+$F$11-2*$G$11))</f>
        <v>#REF!</v>
      </c>
      <c r="N118" s="250">
        <f>0.00125*1*L118*($E$4+$F$4-2*5)*1000</f>
        <v>0</v>
      </c>
      <c r="O118" s="185" t="e">
        <f>J118*(($E$5+$F$5-2*$G$5)/($E$11+$F$11-2*$G$11))</f>
        <v>#REF!</v>
      </c>
      <c r="P118" s="185">
        <f>0.00125*1*L118*($E$5+$F$5-2*5)*1000</f>
        <v>0</v>
      </c>
      <c r="Q118" s="185" t="e">
        <f>J118*(($E$6+$F$6-2*$G$6)/($E$11+$F$11-2*$G$11))</f>
        <v>#REF!</v>
      </c>
      <c r="R118" s="185">
        <f>0.00125*1*L118*($E$6+$F$6-2*5)*1000</f>
        <v>0</v>
      </c>
      <c r="S118" s="185" t="e">
        <f>J118*(($E$7+$F$7-2*$G$7)/($E$11+$F$11-2*$G$11))</f>
        <v>#REF!</v>
      </c>
      <c r="T118" s="185">
        <f>0.00125*1*L118*($E$7+$F$7-2*5)*1000</f>
        <v>0</v>
      </c>
      <c r="U118" s="185" t="e">
        <f>J118*(($E$8+$F$8-2*$G$8)/($E$11+$F$11-2*$G$11))</f>
        <v>#REF!</v>
      </c>
      <c r="V118" s="185">
        <f>0.00125*1*L118*($E$8+$F$8-2*5)*1000</f>
        <v>0</v>
      </c>
      <c r="W118" s="185" t="e">
        <f>J118*(($E$9+$F$9-2*$G$9)/($E$11+$F$11-2*$G$11))</f>
        <v>#REF!</v>
      </c>
      <c r="X118" s="185">
        <f>0.00125*1*L118*($E$9+$F$9-2*5)*1000</f>
        <v>0</v>
      </c>
      <c r="Y118" s="185" t="e">
        <f>J118*(($E$10+$F$10-2*$G$10)/($E$11+$F$11-2*$G$11))</f>
        <v>#REF!</v>
      </c>
      <c r="Z118" s="251">
        <f>0.00125*1*L118*($E$10+$F$10-2*5)*1000</f>
        <v>0</v>
      </c>
      <c r="AA118" s="252"/>
    </row>
    <row r="119" spans="1:27" s="238" customFormat="1" ht="15.75" hidden="1" x14ac:dyDescent="0.2">
      <c r="A119" s="177">
        <v>108</v>
      </c>
      <c r="B119" s="177" t="s">
        <v>136</v>
      </c>
      <c r="C119" s="177">
        <v>0</v>
      </c>
      <c r="D119" s="177">
        <v>0</v>
      </c>
      <c r="E119" s="177">
        <v>76</v>
      </c>
      <c r="F119" s="177">
        <v>88</v>
      </c>
      <c r="G119" s="177" t="e">
        <f>E119+((F119-E119)/(65-52.5))*((($E$11+$F$11)/2-$G$11)-52.5)</f>
        <v>#REF!</v>
      </c>
      <c r="H119" s="177">
        <v>1.2</v>
      </c>
      <c r="I119" s="177">
        <v>1</v>
      </c>
      <c r="J119" s="177" t="e">
        <f>H119*C119*G119*I119</f>
        <v>#REF!</v>
      </c>
      <c r="K119" s="177">
        <v>7.8540000000000001</v>
      </c>
      <c r="L119" s="177">
        <f t="shared" si="2"/>
        <v>0</v>
      </c>
      <c r="M119" s="177" t="e">
        <f>J119*(($E$4+$F$4-2*$G$4)/($E$11+$F$11-2*$G$11))</f>
        <v>#REF!</v>
      </c>
      <c r="N119" s="250">
        <f>0.00125*1*L119*($E$4+$F$4-2*5)*1000</f>
        <v>0</v>
      </c>
      <c r="O119" s="185" t="e">
        <f>J119*(($E$5+$F$5-2*$G$5)/($E$11+$F$11-2*$G$11))</f>
        <v>#REF!</v>
      </c>
      <c r="P119" s="185">
        <f>0.00125*1*L119*($E$5+$F$5-2*5)*1000</f>
        <v>0</v>
      </c>
      <c r="Q119" s="185" t="e">
        <f>J119*(($E$6+$F$6-2*$G$6)/($E$11+$F$11-2*$G$11))</f>
        <v>#REF!</v>
      </c>
      <c r="R119" s="185">
        <f>0.00125*1*L119*($E$6+$F$6-2*5)*1000</f>
        <v>0</v>
      </c>
      <c r="S119" s="185" t="e">
        <f>J119*(($E$7+$F$7-2*$G$7)/($E$11+$F$11-2*$G$11))</f>
        <v>#REF!</v>
      </c>
      <c r="T119" s="185">
        <f>0.00125*1*L119*($E$7+$F$7-2*5)*1000</f>
        <v>0</v>
      </c>
      <c r="U119" s="185" t="e">
        <f>J119*(($E$8+$F$8-2*$G$8)/($E$11+$F$11-2*$G$11))</f>
        <v>#REF!</v>
      </c>
      <c r="V119" s="185">
        <f>0.00125*1*L119*($E$8+$F$8-2*5)*1000</f>
        <v>0</v>
      </c>
      <c r="W119" s="185" t="e">
        <f>J119*(($E$9+$F$9-2*$G$9)/($E$11+$F$11-2*$G$11))</f>
        <v>#REF!</v>
      </c>
      <c r="X119" s="185">
        <f>0.00125*1*L119*($E$9+$F$9-2*5)*1000</f>
        <v>0</v>
      </c>
      <c r="Y119" s="185" t="e">
        <f>J119*(($E$10+$F$10-2*$G$10)/($E$11+$F$11-2*$G$11))</f>
        <v>#REF!</v>
      </c>
      <c r="Z119" s="251">
        <f>0.00125*1*L119*($E$10+$F$10-2*5)*1000</f>
        <v>0</v>
      </c>
      <c r="AA119" s="252"/>
    </row>
    <row r="120" spans="1:27" s="238" customFormat="1" ht="15.75" hidden="1" x14ac:dyDescent="0.2">
      <c r="A120" s="253">
        <v>108</v>
      </c>
      <c r="B120" s="177" t="s">
        <v>136</v>
      </c>
      <c r="C120" s="177">
        <v>0</v>
      </c>
      <c r="D120" s="177">
        <v>0</v>
      </c>
      <c r="E120" s="253">
        <v>28</v>
      </c>
      <c r="F120" s="253">
        <v>19</v>
      </c>
      <c r="G120" s="253">
        <f>SUM(E120:F120)</f>
        <v>47</v>
      </c>
      <c r="H120" s="177">
        <v>1.2</v>
      </c>
      <c r="I120" s="177">
        <v>1</v>
      </c>
      <c r="J120" s="177">
        <f>H120*C120*G120*I120</f>
        <v>0</v>
      </c>
      <c r="K120" s="177">
        <v>7.8540000000000001</v>
      </c>
      <c r="L120" s="177">
        <f>(C120+D120)*K120*0.001</f>
        <v>0</v>
      </c>
      <c r="M120" s="177" t="e">
        <f>J120*(($E$4+$F$4-2*$G$4)/($E$11+$F$11-2*$G$11))</f>
        <v>#REF!</v>
      </c>
      <c r="N120" s="250">
        <f>0.00125*1*L120*($E$4+$F$4-2*5)*1000</f>
        <v>0</v>
      </c>
      <c r="O120" s="185" t="e">
        <f>J120*(($E$5+$F$5-2*$G$5)/($E$11+$F$11-2*$G$11))</f>
        <v>#REF!</v>
      </c>
      <c r="P120" s="185">
        <f>0.00125*1*L120*($E$5+$F$5-2*5)*1000</f>
        <v>0</v>
      </c>
      <c r="Q120" s="185" t="e">
        <f>J120*(($E$6+$F$6-2*$G$6)/($E$11+$F$11-2*$G$11))</f>
        <v>#REF!</v>
      </c>
      <c r="R120" s="185">
        <f>0.00125*1*L120*($E$6+$F$6-2*5)*1000</f>
        <v>0</v>
      </c>
      <c r="S120" s="185" t="e">
        <f>J120*(($E$7+$F$7-2*$G$7)/($E$11+$F$11-2*$G$11))</f>
        <v>#REF!</v>
      </c>
      <c r="T120" s="185">
        <f>0.00125*1*L120*($E$7+$F$7-2*5)*1000</f>
        <v>0</v>
      </c>
      <c r="U120" s="185" t="e">
        <f>J120*(($E$8+$F$8-2*$G$8)/($E$11+$F$11-2*$G$11))</f>
        <v>#REF!</v>
      </c>
      <c r="V120" s="185">
        <f>0.00125*1*L120*($E$8+$F$8-2*5)*1000</f>
        <v>0</v>
      </c>
      <c r="W120" s="185" t="e">
        <f>J120*(($E$9+$F$9-2*$G$9)/($E$11+$F$11-2*$G$11))</f>
        <v>#REF!</v>
      </c>
      <c r="X120" s="185">
        <f>0.00125*1*L120*($E$9+$F$9-2*5)*1000</f>
        <v>0</v>
      </c>
      <c r="Y120" s="185" t="e">
        <f>J120*(($E$10+$F$10-2*$G$10)/($E$11+$F$11-2*$G$11))</f>
        <v>#REF!</v>
      </c>
      <c r="Z120" s="251">
        <f>0.00125*1*L120*($E$10+$F$10-2*5)*1000</f>
        <v>0</v>
      </c>
      <c r="AA120" s="254"/>
    </row>
    <row r="121" spans="1:27" s="238" customFormat="1" ht="16.5" hidden="1" thickBot="1" x14ac:dyDescent="0.25">
      <c r="A121" s="253">
        <v>57</v>
      </c>
      <c r="B121" s="253" t="s">
        <v>136</v>
      </c>
      <c r="C121" s="177">
        <v>0</v>
      </c>
      <c r="D121" s="177">
        <v>0</v>
      </c>
      <c r="E121" s="253">
        <v>56</v>
      </c>
      <c r="F121" s="253">
        <v>65</v>
      </c>
      <c r="G121" s="177" t="e">
        <f>E121+((F121-E121)/(65-52.5))*((($E$11+$F$11)/2-$G$11)-52.5)</f>
        <v>#REF!</v>
      </c>
      <c r="H121" s="253">
        <v>1.2</v>
      </c>
      <c r="I121" s="253">
        <v>1</v>
      </c>
      <c r="J121" s="253" t="e">
        <f>H121*C121*G121*I121</f>
        <v>#REF!</v>
      </c>
      <c r="K121" s="253">
        <v>1.9630000000000001</v>
      </c>
      <c r="L121" s="253">
        <f>(C121+D121)*K121*0.001</f>
        <v>0</v>
      </c>
      <c r="M121" s="177" t="e">
        <f>J121*(($E$4+$F$4-2*$G$4)/($E$11+$F$11-2*$G$11))</f>
        <v>#REF!</v>
      </c>
      <c r="N121" s="250">
        <f>0.00125*1*L121*($E$4+$F$4-2*5)*1000</f>
        <v>0</v>
      </c>
      <c r="O121" s="185" t="e">
        <f>J121*(($E$5+$F$5-2*$G$5)/($E$11+$F$11-2*$G$11))</f>
        <v>#REF!</v>
      </c>
      <c r="P121" s="185">
        <f>0.00125*1*L121*($E$5+$F$5-2*5)*1000</f>
        <v>0</v>
      </c>
      <c r="Q121" s="185" t="e">
        <f>J121*(($E$6+$F$6-2*$G$6)/($E$11+$F$11-2*$G$11))</f>
        <v>#REF!</v>
      </c>
      <c r="R121" s="185">
        <f>0.00125*1*L121*($E$6+$F$6-2*5)*1000</f>
        <v>0</v>
      </c>
      <c r="S121" s="185" t="e">
        <f>J121*(($E$7+$F$7-2*$G$7)/($E$11+$F$11-2*$G$11))</f>
        <v>#REF!</v>
      </c>
      <c r="T121" s="185">
        <f>0.00125*1*L121*($E$7+$F$7-2*5)*1000</f>
        <v>0</v>
      </c>
      <c r="U121" s="185" t="e">
        <f>J121*(($E$8+$F$8-2*$G$8)/($E$11+$F$11-2*$G$11))</f>
        <v>#REF!</v>
      </c>
      <c r="V121" s="185">
        <f>0.00125*1*L121*($E$8+$F$8-2*5)*1000</f>
        <v>0</v>
      </c>
      <c r="W121" s="185" t="e">
        <f>J121*(($E$9+$F$9-2*$G$9)/($E$11+$F$11-2*$G$11))</f>
        <v>#REF!</v>
      </c>
      <c r="X121" s="185">
        <f>0.00125*1*L121*($E$9+$F$9-2*5)*1000</f>
        <v>0</v>
      </c>
      <c r="Y121" s="185" t="e">
        <f>J121*(($E$10+$F$10-2*$G$10)/($E$11+$F$11-2*$G$11))</f>
        <v>#REF!</v>
      </c>
      <c r="Z121" s="251">
        <f>0.00125*1*L121*($E$10+$F$10-2*5)*1000</f>
        <v>0</v>
      </c>
      <c r="AA121" s="254"/>
    </row>
    <row r="122" spans="1:27" s="238" customFormat="1" ht="15.75" hidden="1" x14ac:dyDescent="0.2">
      <c r="A122" s="256" t="s">
        <v>139</v>
      </c>
      <c r="B122" s="258"/>
      <c r="C122" s="257">
        <f>SUM(C117:C121)</f>
        <v>0</v>
      </c>
      <c r="D122" s="257">
        <f>SUM(D117:D121)</f>
        <v>0</v>
      </c>
      <c r="E122" s="258"/>
      <c r="F122" s="258"/>
      <c r="G122" s="258"/>
      <c r="H122" s="258"/>
      <c r="I122" s="258"/>
      <c r="J122" s="258"/>
      <c r="K122" s="258"/>
      <c r="L122" s="258"/>
      <c r="M122" s="258" t="e">
        <f t="shared" ref="M122:Z122" si="53">SUM(M117:M121)</f>
        <v>#REF!</v>
      </c>
      <c r="N122" s="259">
        <f t="shared" si="53"/>
        <v>0</v>
      </c>
      <c r="O122" s="260" t="e">
        <f t="shared" si="53"/>
        <v>#REF!</v>
      </c>
      <c r="P122" s="260">
        <f t="shared" si="53"/>
        <v>0</v>
      </c>
      <c r="Q122" s="260" t="e">
        <f t="shared" si="53"/>
        <v>#REF!</v>
      </c>
      <c r="R122" s="260">
        <f t="shared" si="53"/>
        <v>0</v>
      </c>
      <c r="S122" s="260" t="e">
        <f t="shared" si="53"/>
        <v>#REF!</v>
      </c>
      <c r="T122" s="260">
        <f t="shared" si="53"/>
        <v>0</v>
      </c>
      <c r="U122" s="260" t="e">
        <f t="shared" si="53"/>
        <v>#REF!</v>
      </c>
      <c r="V122" s="260">
        <f t="shared" si="53"/>
        <v>0</v>
      </c>
      <c r="W122" s="260" t="e">
        <f t="shared" si="53"/>
        <v>#REF!</v>
      </c>
      <c r="X122" s="260">
        <f t="shared" si="53"/>
        <v>0</v>
      </c>
      <c r="Y122" s="260" t="e">
        <f t="shared" si="53"/>
        <v>#REF!</v>
      </c>
      <c r="Z122" s="261">
        <f t="shared" si="53"/>
        <v>0</v>
      </c>
      <c r="AA122" s="249"/>
    </row>
    <row r="123" spans="1:27" s="238" customFormat="1" ht="16.5" hidden="1" thickBot="1" x14ac:dyDescent="0.3">
      <c r="A123" s="277"/>
      <c r="B123" s="265" t="s">
        <v>140</v>
      </c>
      <c r="C123" s="265">
        <v>0</v>
      </c>
      <c r="D123" s="265">
        <v>0</v>
      </c>
      <c r="E123" s="266"/>
      <c r="F123" s="266"/>
      <c r="G123" s="266"/>
      <c r="H123" s="266"/>
      <c r="I123" s="266"/>
      <c r="J123" s="266"/>
      <c r="K123" s="266"/>
      <c r="L123" s="266"/>
      <c r="M123" s="266"/>
      <c r="N123" s="267" t="e">
        <f>ROUND(((M122+N122)*31*24*0.000001),2)</f>
        <v>#REF!</v>
      </c>
      <c r="O123" s="281"/>
      <c r="P123" s="281" t="e">
        <f>ROUND(((O122+P122)*28*24*0.000001),2)</f>
        <v>#REF!</v>
      </c>
      <c r="Q123" s="281"/>
      <c r="R123" s="281" t="e">
        <f>ROUND(((Q122+R122)*31*24*0.000001),2)</f>
        <v>#REF!</v>
      </c>
      <c r="S123" s="281"/>
      <c r="T123" s="281" t="e">
        <f>ROUND(((S122+T122)*13*24*0.000001),2)</f>
        <v>#REF!</v>
      </c>
      <c r="U123" s="281"/>
      <c r="V123" s="281" t="e">
        <f>ROUND(((U122+V122)*17*24*0.000001),2)</f>
        <v>#REF!</v>
      </c>
      <c r="W123" s="281"/>
      <c r="X123" s="281" t="e">
        <f>ROUND(((W122+X122)*30*24*0.000001),2)</f>
        <v>#REF!</v>
      </c>
      <c r="Y123" s="281"/>
      <c r="Z123" s="282" t="e">
        <f>ROUND(((Y122+Z122)*31*24*0.000001),2)</f>
        <v>#REF!</v>
      </c>
      <c r="AA123" s="268" t="e">
        <f>N123+P123+R123+T123+V123+X123+Z123</f>
        <v>#REF!</v>
      </c>
    </row>
    <row r="124" spans="1:27" s="238" customFormat="1" ht="15.75" hidden="1" x14ac:dyDescent="0.2">
      <c r="A124" s="285" t="s">
        <v>153</v>
      </c>
      <c r="B124" s="286"/>
      <c r="C124" s="286"/>
      <c r="D124" s="286"/>
      <c r="E124" s="286"/>
      <c r="F124" s="286"/>
      <c r="G124" s="286"/>
      <c r="H124" s="286"/>
      <c r="I124" s="286"/>
      <c r="J124" s="271"/>
      <c r="K124" s="286"/>
      <c r="L124" s="286"/>
      <c r="M124" s="271"/>
      <c r="N124" s="272"/>
      <c r="O124" s="273"/>
      <c r="P124" s="273"/>
      <c r="Q124" s="273"/>
      <c r="R124" s="273"/>
      <c r="S124" s="273"/>
      <c r="T124" s="273"/>
      <c r="U124" s="273"/>
      <c r="V124" s="273"/>
      <c r="W124" s="273"/>
      <c r="X124" s="273"/>
      <c r="Y124" s="273"/>
      <c r="Z124" s="274"/>
      <c r="AA124" s="287" t="s">
        <v>154</v>
      </c>
    </row>
    <row r="125" spans="1:27" s="238" customFormat="1" ht="15.75" hidden="1" x14ac:dyDescent="0.2">
      <c r="A125" s="177">
        <v>325</v>
      </c>
      <c r="B125" s="177" t="s">
        <v>136</v>
      </c>
      <c r="C125" s="177">
        <v>0</v>
      </c>
      <c r="D125" s="177">
        <v>0</v>
      </c>
      <c r="E125" s="177">
        <v>149</v>
      </c>
      <c r="F125" s="177">
        <v>168</v>
      </c>
      <c r="G125" s="177" t="e">
        <f>E125+((F125-E125)/(65-52.5))*((($E$11+$F$11)/2-$G$11)-52.5)</f>
        <v>#REF!</v>
      </c>
      <c r="H125" s="177">
        <v>1.2</v>
      </c>
      <c r="I125" s="177">
        <v>1</v>
      </c>
      <c r="J125" s="177" t="e">
        <f>H125*C125*G125*I125</f>
        <v>#REF!</v>
      </c>
      <c r="K125" s="177">
        <v>74.989999999999995</v>
      </c>
      <c r="L125" s="177">
        <f t="shared" ref="L125:L140" si="54">(C125+D125)*K125*0.001</f>
        <v>0</v>
      </c>
      <c r="M125" s="177" t="e">
        <f>J125*(($E$4+$F$4-2*$G$4)/($E$11+$F$11-2*$G$11))</f>
        <v>#REF!</v>
      </c>
      <c r="N125" s="250">
        <f>0.00125*1*L125*($E$4+$F$4-2*5)*1000</f>
        <v>0</v>
      </c>
      <c r="O125" s="185" t="e">
        <f>J125*(($E$5+$F$5-2*$G$5)/($E$11+$F$11-2*$G$11))</f>
        <v>#REF!</v>
      </c>
      <c r="P125" s="185">
        <f>0.00125*1*L125*($E$5+$F$5-2*5)*1000</f>
        <v>0</v>
      </c>
      <c r="Q125" s="185" t="e">
        <f>J125*(($E$6+$F$6-2*$G$6)/($E$11+$F$11-2*$G$11))</f>
        <v>#REF!</v>
      </c>
      <c r="R125" s="185">
        <f>0.00125*1*L125*($E$6+$F$6-2*5)*1000</f>
        <v>0</v>
      </c>
      <c r="S125" s="185" t="e">
        <f>J125*(($E$7+$F$7-2*$G$7)/($E$11+$F$11-2*$G$11))</f>
        <v>#REF!</v>
      </c>
      <c r="T125" s="185">
        <f>0.00125*1*L125*($E$7+$F$7-2*5)*1000</f>
        <v>0</v>
      </c>
      <c r="U125" s="185" t="e">
        <f>J125*(($E$8+$F$8-2*$G$8)/($E$11+$F$11-2*$G$11))</f>
        <v>#REF!</v>
      </c>
      <c r="V125" s="185">
        <f>0.00125*1*L125*($E$8+$F$8-2*5)*1000</f>
        <v>0</v>
      </c>
      <c r="W125" s="185" t="e">
        <f>J125*(($E$9+$F$9-2*$G$9)/($E$11+$F$11-2*$G$11))</f>
        <v>#REF!</v>
      </c>
      <c r="X125" s="185">
        <f>0.00125*1*L125*($E$9+$F$9-2*5)*1000</f>
        <v>0</v>
      </c>
      <c r="Y125" s="185" t="e">
        <f>J125*(($E$10+$F$10-2*$G$10)/($E$11+$F$11-2*$G$11))</f>
        <v>#REF!</v>
      </c>
      <c r="Z125" s="251">
        <f>0.00125*1*L125*($E$10+$F$10-2*5)*1000</f>
        <v>0</v>
      </c>
      <c r="AA125" s="252"/>
    </row>
    <row r="126" spans="1:27" s="238" customFormat="1" ht="15.75" hidden="1" x14ac:dyDescent="0.2">
      <c r="A126" s="177">
        <v>273</v>
      </c>
      <c r="B126" s="177" t="s">
        <v>148</v>
      </c>
      <c r="C126" s="177">
        <v>0</v>
      </c>
      <c r="D126" s="177">
        <v>0</v>
      </c>
      <c r="E126" s="177">
        <v>71</v>
      </c>
      <c r="F126" s="177">
        <v>54</v>
      </c>
      <c r="G126" s="177">
        <f t="shared" ref="G126:G140" si="55">SUM(E126:F126)</f>
        <v>125</v>
      </c>
      <c r="H126" s="177">
        <v>1.1499999999999999</v>
      </c>
      <c r="I126" s="177">
        <v>0.7</v>
      </c>
      <c r="J126" s="177">
        <f t="shared" ref="J126:J140" si="56">H126*C126*G126*I126</f>
        <v>0</v>
      </c>
      <c r="K126" s="177">
        <v>51.07</v>
      </c>
      <c r="L126" s="177">
        <f t="shared" si="54"/>
        <v>0</v>
      </c>
      <c r="M126" s="177" t="e">
        <f t="shared" ref="M126:M140" si="57">J126*(($E$4+$F$4-2*$G$4)/($E$11+$F$11-2*$G$11))</f>
        <v>#REF!</v>
      </c>
      <c r="N126" s="250">
        <f t="shared" ref="N126:N140" si="58">0.00125*1*L126*($E$4+$F$4-2*5)*1000</f>
        <v>0</v>
      </c>
      <c r="O126" s="185" t="e">
        <f t="shared" ref="O126:O140" si="59">J126*(($E$5+$F$5-2*$G$5)/($E$11+$F$11-2*$G$11))</f>
        <v>#REF!</v>
      </c>
      <c r="P126" s="185">
        <f t="shared" ref="P126:P140" si="60">0.00125*1*L126*($E$5+$F$5-2*5)*1000</f>
        <v>0</v>
      </c>
      <c r="Q126" s="185" t="e">
        <f t="shared" ref="Q126:Q140" si="61">J126*(($E$6+$F$6-2*$G$6)/($E$11+$F$11-2*$G$11))</f>
        <v>#REF!</v>
      </c>
      <c r="R126" s="185">
        <f t="shared" ref="R126:R140" si="62">0.00125*1*L126*($E$6+$F$6-2*5)*1000</f>
        <v>0</v>
      </c>
      <c r="S126" s="185" t="e">
        <f t="shared" ref="S126:S140" si="63">J126*(($E$7+$F$7-2*$G$7)/($E$11+$F$11-2*$G$11))</f>
        <v>#REF!</v>
      </c>
      <c r="T126" s="185">
        <f t="shared" ref="T126:T140" si="64">0.00125*1*L126*($E$7+$F$7-2*5)*1000</f>
        <v>0</v>
      </c>
      <c r="U126" s="185" t="e">
        <f t="shared" ref="U126:U140" si="65">J126*(($E$8+$F$8-2*$G$8)/($E$11+$F$11-2*$G$11))</f>
        <v>#REF!</v>
      </c>
      <c r="V126" s="185">
        <f t="shared" ref="V126:V140" si="66">0.00125*1*L126*($E$8+$F$8-2*5)*1000</f>
        <v>0</v>
      </c>
      <c r="W126" s="185" t="e">
        <f t="shared" ref="W126:W140" si="67">J126*(($E$9+$F$9-2*$G$9)/($E$11+$F$11-2*$G$11))</f>
        <v>#REF!</v>
      </c>
      <c r="X126" s="185">
        <f t="shared" ref="X126:X140" si="68">0.00125*1*L126*($E$9+$F$9-2*5)*1000</f>
        <v>0</v>
      </c>
      <c r="Y126" s="185" t="e">
        <f t="shared" ref="Y126:Y140" si="69">J126*(($E$10+$F$10-2*$G$10)/($E$11+$F$11-2*$G$11))</f>
        <v>#REF!</v>
      </c>
      <c r="Z126" s="251">
        <f t="shared" ref="Z126:Z140" si="70">0.00125*1*L126*($E$10+$F$10-2*5)*1000</f>
        <v>0</v>
      </c>
      <c r="AA126" s="252"/>
    </row>
    <row r="127" spans="1:27" s="238" customFormat="1" ht="15.75" hidden="1" x14ac:dyDescent="0.2">
      <c r="A127" s="177">
        <v>273</v>
      </c>
      <c r="B127" s="177" t="s">
        <v>136</v>
      </c>
      <c r="C127" s="177">
        <v>0</v>
      </c>
      <c r="D127" s="177">
        <v>0</v>
      </c>
      <c r="E127" s="177">
        <v>132</v>
      </c>
      <c r="F127" s="177">
        <v>150</v>
      </c>
      <c r="G127" s="177" t="e">
        <f>E127+((F127-E127)/(65-52.5))*((($E$11+$F$11)/2-$G$11)-52.5)</f>
        <v>#REF!</v>
      </c>
      <c r="H127" s="177">
        <v>1.2</v>
      </c>
      <c r="I127" s="177">
        <v>1</v>
      </c>
      <c r="J127" s="177" t="e">
        <f t="shared" si="56"/>
        <v>#REF!</v>
      </c>
      <c r="K127" s="177">
        <v>51.07</v>
      </c>
      <c r="L127" s="177">
        <f t="shared" si="54"/>
        <v>0</v>
      </c>
      <c r="M127" s="177" t="e">
        <f t="shared" si="57"/>
        <v>#REF!</v>
      </c>
      <c r="N127" s="250">
        <f t="shared" si="58"/>
        <v>0</v>
      </c>
      <c r="O127" s="185" t="e">
        <f t="shared" si="59"/>
        <v>#REF!</v>
      </c>
      <c r="P127" s="185">
        <f t="shared" si="60"/>
        <v>0</v>
      </c>
      <c r="Q127" s="185" t="e">
        <f t="shared" si="61"/>
        <v>#REF!</v>
      </c>
      <c r="R127" s="185">
        <f t="shared" si="62"/>
        <v>0</v>
      </c>
      <c r="S127" s="185" t="e">
        <f t="shared" si="63"/>
        <v>#REF!</v>
      </c>
      <c r="T127" s="185">
        <f t="shared" si="64"/>
        <v>0</v>
      </c>
      <c r="U127" s="185" t="e">
        <f t="shared" si="65"/>
        <v>#REF!</v>
      </c>
      <c r="V127" s="185">
        <f t="shared" si="66"/>
        <v>0</v>
      </c>
      <c r="W127" s="185" t="e">
        <f t="shared" si="67"/>
        <v>#REF!</v>
      </c>
      <c r="X127" s="185">
        <f t="shared" si="68"/>
        <v>0</v>
      </c>
      <c r="Y127" s="185" t="e">
        <f t="shared" si="69"/>
        <v>#REF!</v>
      </c>
      <c r="Z127" s="251">
        <f t="shared" si="70"/>
        <v>0</v>
      </c>
      <c r="AA127" s="252"/>
    </row>
    <row r="128" spans="1:27" s="238" customFormat="1" ht="15.75" hidden="1" x14ac:dyDescent="0.2">
      <c r="A128" s="177">
        <v>219</v>
      </c>
      <c r="B128" s="177" t="s">
        <v>148</v>
      </c>
      <c r="C128" s="177">
        <v>0</v>
      </c>
      <c r="D128" s="177">
        <v>0</v>
      </c>
      <c r="E128" s="177">
        <v>66</v>
      </c>
      <c r="F128" s="177">
        <v>51</v>
      </c>
      <c r="G128" s="177">
        <f t="shared" si="55"/>
        <v>117</v>
      </c>
      <c r="H128" s="177">
        <v>1.1499999999999999</v>
      </c>
      <c r="I128" s="177">
        <v>0.7</v>
      </c>
      <c r="J128" s="177">
        <f t="shared" si="56"/>
        <v>0</v>
      </c>
      <c r="K128" s="177">
        <v>32.36</v>
      </c>
      <c r="L128" s="177">
        <f t="shared" si="54"/>
        <v>0</v>
      </c>
      <c r="M128" s="177" t="e">
        <f t="shared" si="57"/>
        <v>#REF!</v>
      </c>
      <c r="N128" s="250">
        <f t="shared" si="58"/>
        <v>0</v>
      </c>
      <c r="O128" s="185" t="e">
        <f t="shared" si="59"/>
        <v>#REF!</v>
      </c>
      <c r="P128" s="185">
        <f t="shared" si="60"/>
        <v>0</v>
      </c>
      <c r="Q128" s="185" t="e">
        <f t="shared" si="61"/>
        <v>#REF!</v>
      </c>
      <c r="R128" s="185">
        <f t="shared" si="62"/>
        <v>0</v>
      </c>
      <c r="S128" s="185" t="e">
        <f t="shared" si="63"/>
        <v>#REF!</v>
      </c>
      <c r="T128" s="185">
        <f t="shared" si="64"/>
        <v>0</v>
      </c>
      <c r="U128" s="185" t="e">
        <f t="shared" si="65"/>
        <v>#REF!</v>
      </c>
      <c r="V128" s="185">
        <f t="shared" si="66"/>
        <v>0</v>
      </c>
      <c r="W128" s="185" t="e">
        <f t="shared" si="67"/>
        <v>#REF!</v>
      </c>
      <c r="X128" s="185">
        <f t="shared" si="68"/>
        <v>0</v>
      </c>
      <c r="Y128" s="185" t="e">
        <f t="shared" si="69"/>
        <v>#REF!</v>
      </c>
      <c r="Z128" s="251">
        <f t="shared" si="70"/>
        <v>0</v>
      </c>
      <c r="AA128" s="252"/>
    </row>
    <row r="129" spans="1:27" s="238" customFormat="1" ht="15.75" hidden="1" x14ac:dyDescent="0.2">
      <c r="A129" s="177">
        <v>219</v>
      </c>
      <c r="B129" s="177" t="s">
        <v>136</v>
      </c>
      <c r="C129" s="177">
        <v>0</v>
      </c>
      <c r="D129" s="177">
        <v>0</v>
      </c>
      <c r="E129" s="177">
        <v>113</v>
      </c>
      <c r="F129" s="177">
        <v>130</v>
      </c>
      <c r="G129" s="177" t="e">
        <f>E129+((F129-E129)/(65-52.5))*((($E$11+$F$11)/2-$G$11)-52.5)</f>
        <v>#REF!</v>
      </c>
      <c r="H129" s="177">
        <v>1.2</v>
      </c>
      <c r="I129" s="177">
        <v>1</v>
      </c>
      <c r="J129" s="177" t="e">
        <f t="shared" si="56"/>
        <v>#REF!</v>
      </c>
      <c r="K129" s="177">
        <v>32.36</v>
      </c>
      <c r="L129" s="177">
        <f t="shared" si="54"/>
        <v>0</v>
      </c>
      <c r="M129" s="177" t="e">
        <f t="shared" si="57"/>
        <v>#REF!</v>
      </c>
      <c r="N129" s="250">
        <f t="shared" si="58"/>
        <v>0</v>
      </c>
      <c r="O129" s="185" t="e">
        <f t="shared" si="59"/>
        <v>#REF!</v>
      </c>
      <c r="P129" s="185">
        <f t="shared" si="60"/>
        <v>0</v>
      </c>
      <c r="Q129" s="185" t="e">
        <f t="shared" si="61"/>
        <v>#REF!</v>
      </c>
      <c r="R129" s="185">
        <f t="shared" si="62"/>
        <v>0</v>
      </c>
      <c r="S129" s="185" t="e">
        <f t="shared" si="63"/>
        <v>#REF!</v>
      </c>
      <c r="T129" s="185">
        <f t="shared" si="64"/>
        <v>0</v>
      </c>
      <c r="U129" s="185" t="e">
        <f t="shared" si="65"/>
        <v>#REF!</v>
      </c>
      <c r="V129" s="185">
        <f t="shared" si="66"/>
        <v>0</v>
      </c>
      <c r="W129" s="185" t="e">
        <f t="shared" si="67"/>
        <v>#REF!</v>
      </c>
      <c r="X129" s="185">
        <f t="shared" si="68"/>
        <v>0</v>
      </c>
      <c r="Y129" s="185" t="e">
        <f t="shared" si="69"/>
        <v>#REF!</v>
      </c>
      <c r="Z129" s="251">
        <f t="shared" si="70"/>
        <v>0</v>
      </c>
      <c r="AA129" s="252"/>
    </row>
    <row r="130" spans="1:27" s="238" customFormat="1" ht="15.75" hidden="1" x14ac:dyDescent="0.2">
      <c r="A130" s="177">
        <v>219</v>
      </c>
      <c r="B130" s="177" t="s">
        <v>136</v>
      </c>
      <c r="C130" s="177">
        <v>0</v>
      </c>
      <c r="D130" s="177">
        <v>0</v>
      </c>
      <c r="E130" s="177">
        <v>41</v>
      </c>
      <c r="F130" s="177">
        <v>27</v>
      </c>
      <c r="G130" s="177">
        <f t="shared" si="55"/>
        <v>68</v>
      </c>
      <c r="H130" s="177">
        <v>1.2</v>
      </c>
      <c r="I130" s="177">
        <v>1</v>
      </c>
      <c r="J130" s="177">
        <f t="shared" si="56"/>
        <v>0</v>
      </c>
      <c r="K130" s="177">
        <v>32.36</v>
      </c>
      <c r="L130" s="177">
        <f t="shared" si="54"/>
        <v>0</v>
      </c>
      <c r="M130" s="177" t="e">
        <f t="shared" si="57"/>
        <v>#REF!</v>
      </c>
      <c r="N130" s="250">
        <f t="shared" si="58"/>
        <v>0</v>
      </c>
      <c r="O130" s="185" t="e">
        <f t="shared" si="59"/>
        <v>#REF!</v>
      </c>
      <c r="P130" s="185">
        <f t="shared" si="60"/>
        <v>0</v>
      </c>
      <c r="Q130" s="185" t="e">
        <f t="shared" si="61"/>
        <v>#REF!</v>
      </c>
      <c r="R130" s="185">
        <f t="shared" si="62"/>
        <v>0</v>
      </c>
      <c r="S130" s="185" t="e">
        <f t="shared" si="63"/>
        <v>#REF!</v>
      </c>
      <c r="T130" s="185">
        <f t="shared" si="64"/>
        <v>0</v>
      </c>
      <c r="U130" s="185" t="e">
        <f t="shared" si="65"/>
        <v>#REF!</v>
      </c>
      <c r="V130" s="185">
        <f t="shared" si="66"/>
        <v>0</v>
      </c>
      <c r="W130" s="185" t="e">
        <f t="shared" si="67"/>
        <v>#REF!</v>
      </c>
      <c r="X130" s="185">
        <f t="shared" si="68"/>
        <v>0</v>
      </c>
      <c r="Y130" s="185" t="e">
        <f t="shared" si="69"/>
        <v>#REF!</v>
      </c>
      <c r="Z130" s="251">
        <f t="shared" si="70"/>
        <v>0</v>
      </c>
      <c r="AA130" s="252"/>
    </row>
    <row r="131" spans="1:27" s="238" customFormat="1" ht="15.75" hidden="1" x14ac:dyDescent="0.2">
      <c r="A131" s="177">
        <v>159</v>
      </c>
      <c r="B131" s="177" t="s">
        <v>136</v>
      </c>
      <c r="C131" s="177">
        <v>0</v>
      </c>
      <c r="D131" s="177">
        <v>0</v>
      </c>
      <c r="E131" s="177">
        <v>94</v>
      </c>
      <c r="F131" s="177">
        <v>107</v>
      </c>
      <c r="G131" s="177" t="e">
        <f>E131+((F131-E131)/(65-52.5))*((($E$11+$F$11)/2-$G$11)-52.5)</f>
        <v>#REF!</v>
      </c>
      <c r="H131" s="177">
        <v>1.2</v>
      </c>
      <c r="I131" s="177">
        <v>1</v>
      </c>
      <c r="J131" s="177" t="e">
        <f t="shared" si="56"/>
        <v>#REF!</v>
      </c>
      <c r="K131" s="177">
        <v>17.670000000000002</v>
      </c>
      <c r="L131" s="177">
        <f t="shared" si="54"/>
        <v>0</v>
      </c>
      <c r="M131" s="177" t="e">
        <f t="shared" si="57"/>
        <v>#REF!</v>
      </c>
      <c r="N131" s="250">
        <f t="shared" si="58"/>
        <v>0</v>
      </c>
      <c r="O131" s="185" t="e">
        <f t="shared" si="59"/>
        <v>#REF!</v>
      </c>
      <c r="P131" s="185">
        <f t="shared" si="60"/>
        <v>0</v>
      </c>
      <c r="Q131" s="185" t="e">
        <f t="shared" si="61"/>
        <v>#REF!</v>
      </c>
      <c r="R131" s="185">
        <f t="shared" si="62"/>
        <v>0</v>
      </c>
      <c r="S131" s="185" t="e">
        <f t="shared" si="63"/>
        <v>#REF!</v>
      </c>
      <c r="T131" s="185">
        <f t="shared" si="64"/>
        <v>0</v>
      </c>
      <c r="U131" s="185" t="e">
        <f t="shared" si="65"/>
        <v>#REF!</v>
      </c>
      <c r="V131" s="185">
        <f t="shared" si="66"/>
        <v>0</v>
      </c>
      <c r="W131" s="185" t="e">
        <f t="shared" si="67"/>
        <v>#REF!</v>
      </c>
      <c r="X131" s="185">
        <f t="shared" si="68"/>
        <v>0</v>
      </c>
      <c r="Y131" s="185" t="e">
        <f t="shared" si="69"/>
        <v>#REF!</v>
      </c>
      <c r="Z131" s="251">
        <f t="shared" si="70"/>
        <v>0</v>
      </c>
      <c r="AA131" s="252"/>
    </row>
    <row r="132" spans="1:27" s="238" customFormat="1" ht="15.75" hidden="1" x14ac:dyDescent="0.2">
      <c r="A132" s="177">
        <v>159</v>
      </c>
      <c r="B132" s="177" t="s">
        <v>136</v>
      </c>
      <c r="C132" s="177">
        <v>0</v>
      </c>
      <c r="D132" s="177">
        <v>0</v>
      </c>
      <c r="E132" s="177">
        <v>33</v>
      </c>
      <c r="F132" s="177">
        <v>22</v>
      </c>
      <c r="G132" s="177">
        <f t="shared" si="55"/>
        <v>55</v>
      </c>
      <c r="H132" s="177">
        <v>1.2</v>
      </c>
      <c r="I132" s="177">
        <v>1</v>
      </c>
      <c r="J132" s="177">
        <f t="shared" si="56"/>
        <v>0</v>
      </c>
      <c r="K132" s="177">
        <v>17.670000000000002</v>
      </c>
      <c r="L132" s="177">
        <f t="shared" si="54"/>
        <v>0</v>
      </c>
      <c r="M132" s="177" t="e">
        <f t="shared" si="57"/>
        <v>#REF!</v>
      </c>
      <c r="N132" s="250">
        <f t="shared" si="58"/>
        <v>0</v>
      </c>
      <c r="O132" s="185" t="e">
        <f t="shared" si="59"/>
        <v>#REF!</v>
      </c>
      <c r="P132" s="185">
        <f t="shared" si="60"/>
        <v>0</v>
      </c>
      <c r="Q132" s="185" t="e">
        <f t="shared" si="61"/>
        <v>#REF!</v>
      </c>
      <c r="R132" s="185">
        <f t="shared" si="62"/>
        <v>0</v>
      </c>
      <c r="S132" s="185" t="e">
        <f t="shared" si="63"/>
        <v>#REF!</v>
      </c>
      <c r="T132" s="185">
        <f t="shared" si="64"/>
        <v>0</v>
      </c>
      <c r="U132" s="185" t="e">
        <f t="shared" si="65"/>
        <v>#REF!</v>
      </c>
      <c r="V132" s="185">
        <f t="shared" si="66"/>
        <v>0</v>
      </c>
      <c r="W132" s="185" t="e">
        <f t="shared" si="67"/>
        <v>#REF!</v>
      </c>
      <c r="X132" s="185">
        <f t="shared" si="68"/>
        <v>0</v>
      </c>
      <c r="Y132" s="185" t="e">
        <f t="shared" si="69"/>
        <v>#REF!</v>
      </c>
      <c r="Z132" s="251">
        <f t="shared" si="70"/>
        <v>0</v>
      </c>
      <c r="AA132" s="252"/>
    </row>
    <row r="133" spans="1:27" s="238" customFormat="1" ht="15.75" hidden="1" x14ac:dyDescent="0.2">
      <c r="A133" s="177">
        <v>133</v>
      </c>
      <c r="B133" s="177" t="s">
        <v>148</v>
      </c>
      <c r="C133" s="177">
        <v>0</v>
      </c>
      <c r="D133" s="177">
        <v>0</v>
      </c>
      <c r="E133" s="177">
        <v>53</v>
      </c>
      <c r="F133" s="177">
        <v>40</v>
      </c>
      <c r="G133" s="177">
        <f t="shared" si="55"/>
        <v>93</v>
      </c>
      <c r="H133" s="177">
        <v>1.1499999999999999</v>
      </c>
      <c r="I133" s="177">
        <v>0.6</v>
      </c>
      <c r="J133" s="177">
        <f t="shared" si="56"/>
        <v>0</v>
      </c>
      <c r="K133" s="177">
        <v>12.21</v>
      </c>
      <c r="L133" s="177">
        <f t="shared" si="54"/>
        <v>0</v>
      </c>
      <c r="M133" s="177" t="e">
        <f t="shared" si="57"/>
        <v>#REF!</v>
      </c>
      <c r="N133" s="250">
        <f t="shared" si="58"/>
        <v>0</v>
      </c>
      <c r="O133" s="185" t="e">
        <f t="shared" si="59"/>
        <v>#REF!</v>
      </c>
      <c r="P133" s="185">
        <f t="shared" si="60"/>
        <v>0</v>
      </c>
      <c r="Q133" s="185" t="e">
        <f t="shared" si="61"/>
        <v>#REF!</v>
      </c>
      <c r="R133" s="185">
        <f t="shared" si="62"/>
        <v>0</v>
      </c>
      <c r="S133" s="185" t="e">
        <f t="shared" si="63"/>
        <v>#REF!</v>
      </c>
      <c r="T133" s="185">
        <f t="shared" si="64"/>
        <v>0</v>
      </c>
      <c r="U133" s="185" t="e">
        <f t="shared" si="65"/>
        <v>#REF!</v>
      </c>
      <c r="V133" s="185">
        <f t="shared" si="66"/>
        <v>0</v>
      </c>
      <c r="W133" s="185" t="e">
        <f t="shared" si="67"/>
        <v>#REF!</v>
      </c>
      <c r="X133" s="185">
        <f t="shared" si="68"/>
        <v>0</v>
      </c>
      <c r="Y133" s="185" t="e">
        <f t="shared" si="69"/>
        <v>#REF!</v>
      </c>
      <c r="Z133" s="251">
        <f t="shared" si="70"/>
        <v>0</v>
      </c>
      <c r="AA133" s="252"/>
    </row>
    <row r="134" spans="1:27" s="238" customFormat="1" ht="15.75" hidden="1" x14ac:dyDescent="0.2">
      <c r="A134" s="177">
        <v>108</v>
      </c>
      <c r="B134" s="177" t="s">
        <v>136</v>
      </c>
      <c r="C134" s="177">
        <v>0</v>
      </c>
      <c r="D134" s="177">
        <v>0</v>
      </c>
      <c r="E134" s="177">
        <v>76</v>
      </c>
      <c r="F134" s="177">
        <v>88</v>
      </c>
      <c r="G134" s="177" t="e">
        <f>E134+((F134-E134)/(65-52.5))*((($E$11+$F$11)/2-$G$11)-52.5)</f>
        <v>#REF!</v>
      </c>
      <c r="H134" s="177">
        <v>1.2</v>
      </c>
      <c r="I134" s="177">
        <v>1</v>
      </c>
      <c r="J134" s="177" t="e">
        <f t="shared" si="56"/>
        <v>#REF!</v>
      </c>
      <c r="K134" s="177">
        <v>7.8540000000000001</v>
      </c>
      <c r="L134" s="177">
        <f t="shared" si="54"/>
        <v>0</v>
      </c>
      <c r="M134" s="177" t="e">
        <f t="shared" si="57"/>
        <v>#REF!</v>
      </c>
      <c r="N134" s="250">
        <f t="shared" si="58"/>
        <v>0</v>
      </c>
      <c r="O134" s="185" t="e">
        <f t="shared" si="59"/>
        <v>#REF!</v>
      </c>
      <c r="P134" s="185">
        <f t="shared" si="60"/>
        <v>0</v>
      </c>
      <c r="Q134" s="185" t="e">
        <f t="shared" si="61"/>
        <v>#REF!</v>
      </c>
      <c r="R134" s="185">
        <f t="shared" si="62"/>
        <v>0</v>
      </c>
      <c r="S134" s="185" t="e">
        <f t="shared" si="63"/>
        <v>#REF!</v>
      </c>
      <c r="T134" s="185">
        <f t="shared" si="64"/>
        <v>0</v>
      </c>
      <c r="U134" s="185" t="e">
        <f t="shared" si="65"/>
        <v>#REF!</v>
      </c>
      <c r="V134" s="185">
        <f t="shared" si="66"/>
        <v>0</v>
      </c>
      <c r="W134" s="185" t="e">
        <f t="shared" si="67"/>
        <v>#REF!</v>
      </c>
      <c r="X134" s="185">
        <f t="shared" si="68"/>
        <v>0</v>
      </c>
      <c r="Y134" s="185" t="e">
        <f t="shared" si="69"/>
        <v>#REF!</v>
      </c>
      <c r="Z134" s="251">
        <f t="shared" si="70"/>
        <v>0</v>
      </c>
      <c r="AA134" s="252"/>
    </row>
    <row r="135" spans="1:27" s="238" customFormat="1" ht="15.75" hidden="1" x14ac:dyDescent="0.2">
      <c r="A135" s="177">
        <v>108</v>
      </c>
      <c r="B135" s="177" t="s">
        <v>136</v>
      </c>
      <c r="C135" s="177">
        <v>0</v>
      </c>
      <c r="D135" s="177">
        <v>0</v>
      </c>
      <c r="E135" s="177">
        <v>28</v>
      </c>
      <c r="F135" s="177">
        <v>19</v>
      </c>
      <c r="G135" s="177">
        <f t="shared" si="55"/>
        <v>47</v>
      </c>
      <c r="H135" s="177">
        <v>1.2</v>
      </c>
      <c r="I135" s="177">
        <v>1</v>
      </c>
      <c r="J135" s="177">
        <f t="shared" si="56"/>
        <v>0</v>
      </c>
      <c r="K135" s="177">
        <v>7.8540000000000001</v>
      </c>
      <c r="L135" s="177">
        <f t="shared" si="54"/>
        <v>0</v>
      </c>
      <c r="M135" s="177" t="e">
        <f t="shared" si="57"/>
        <v>#REF!</v>
      </c>
      <c r="N135" s="250">
        <f t="shared" si="58"/>
        <v>0</v>
      </c>
      <c r="O135" s="185" t="e">
        <f t="shared" si="59"/>
        <v>#REF!</v>
      </c>
      <c r="P135" s="185">
        <f t="shared" si="60"/>
        <v>0</v>
      </c>
      <c r="Q135" s="185" t="e">
        <f t="shared" si="61"/>
        <v>#REF!</v>
      </c>
      <c r="R135" s="185">
        <f t="shared" si="62"/>
        <v>0</v>
      </c>
      <c r="S135" s="185" t="e">
        <f t="shared" si="63"/>
        <v>#REF!</v>
      </c>
      <c r="T135" s="185">
        <f t="shared" si="64"/>
        <v>0</v>
      </c>
      <c r="U135" s="185" t="e">
        <f t="shared" si="65"/>
        <v>#REF!</v>
      </c>
      <c r="V135" s="185">
        <f t="shared" si="66"/>
        <v>0</v>
      </c>
      <c r="W135" s="185" t="e">
        <f t="shared" si="67"/>
        <v>#REF!</v>
      </c>
      <c r="X135" s="185">
        <f t="shared" si="68"/>
        <v>0</v>
      </c>
      <c r="Y135" s="185" t="e">
        <f t="shared" si="69"/>
        <v>#REF!</v>
      </c>
      <c r="Z135" s="251">
        <f t="shared" si="70"/>
        <v>0</v>
      </c>
      <c r="AA135" s="252"/>
    </row>
    <row r="136" spans="1:27" s="238" customFormat="1" ht="15.75" hidden="1" x14ac:dyDescent="0.2">
      <c r="A136" s="177">
        <v>108</v>
      </c>
      <c r="B136" s="177" t="s">
        <v>148</v>
      </c>
      <c r="C136" s="177">
        <v>0</v>
      </c>
      <c r="D136" s="177">
        <v>0</v>
      </c>
      <c r="E136" s="177">
        <v>47</v>
      </c>
      <c r="F136" s="177">
        <v>36</v>
      </c>
      <c r="G136" s="177">
        <f t="shared" si="55"/>
        <v>83</v>
      </c>
      <c r="H136" s="177">
        <v>1.1499999999999999</v>
      </c>
      <c r="I136" s="177">
        <v>0.6</v>
      </c>
      <c r="J136" s="177">
        <f t="shared" si="56"/>
        <v>0</v>
      </c>
      <c r="K136" s="177">
        <v>7.8540000000000001</v>
      </c>
      <c r="L136" s="177">
        <f t="shared" si="54"/>
        <v>0</v>
      </c>
      <c r="M136" s="177" t="e">
        <f t="shared" si="57"/>
        <v>#REF!</v>
      </c>
      <c r="N136" s="250">
        <f t="shared" si="58"/>
        <v>0</v>
      </c>
      <c r="O136" s="185" t="e">
        <f t="shared" si="59"/>
        <v>#REF!</v>
      </c>
      <c r="P136" s="185">
        <f t="shared" si="60"/>
        <v>0</v>
      </c>
      <c r="Q136" s="185" t="e">
        <f t="shared" si="61"/>
        <v>#REF!</v>
      </c>
      <c r="R136" s="185">
        <f t="shared" si="62"/>
        <v>0</v>
      </c>
      <c r="S136" s="185" t="e">
        <f t="shared" si="63"/>
        <v>#REF!</v>
      </c>
      <c r="T136" s="185">
        <f t="shared" si="64"/>
        <v>0</v>
      </c>
      <c r="U136" s="185" t="e">
        <f t="shared" si="65"/>
        <v>#REF!</v>
      </c>
      <c r="V136" s="185">
        <f t="shared" si="66"/>
        <v>0</v>
      </c>
      <c r="W136" s="185" t="e">
        <f t="shared" si="67"/>
        <v>#REF!</v>
      </c>
      <c r="X136" s="185">
        <f t="shared" si="68"/>
        <v>0</v>
      </c>
      <c r="Y136" s="185" t="e">
        <f t="shared" si="69"/>
        <v>#REF!</v>
      </c>
      <c r="Z136" s="251">
        <f t="shared" si="70"/>
        <v>0</v>
      </c>
      <c r="AA136" s="252"/>
    </row>
    <row r="137" spans="1:27" s="238" customFormat="1" ht="15.75" hidden="1" x14ac:dyDescent="0.2">
      <c r="A137" s="177">
        <v>89</v>
      </c>
      <c r="B137" s="177" t="s">
        <v>136</v>
      </c>
      <c r="C137" s="177">
        <v>0</v>
      </c>
      <c r="D137" s="177">
        <v>0</v>
      </c>
      <c r="E137" s="177">
        <v>25</v>
      </c>
      <c r="F137" s="177">
        <v>17</v>
      </c>
      <c r="G137" s="177">
        <f t="shared" si="55"/>
        <v>42</v>
      </c>
      <c r="H137" s="177">
        <v>1.2</v>
      </c>
      <c r="I137" s="177">
        <v>1</v>
      </c>
      <c r="J137" s="177">
        <f t="shared" si="56"/>
        <v>0</v>
      </c>
      <c r="K137" s="177">
        <v>5.1529999999999996</v>
      </c>
      <c r="L137" s="177">
        <f t="shared" si="54"/>
        <v>0</v>
      </c>
      <c r="M137" s="177" t="e">
        <f t="shared" si="57"/>
        <v>#REF!</v>
      </c>
      <c r="N137" s="250">
        <f t="shared" si="58"/>
        <v>0</v>
      </c>
      <c r="O137" s="185" t="e">
        <f t="shared" si="59"/>
        <v>#REF!</v>
      </c>
      <c r="P137" s="185">
        <f t="shared" si="60"/>
        <v>0</v>
      </c>
      <c r="Q137" s="185" t="e">
        <f t="shared" si="61"/>
        <v>#REF!</v>
      </c>
      <c r="R137" s="185">
        <f t="shared" si="62"/>
        <v>0</v>
      </c>
      <c r="S137" s="185" t="e">
        <f t="shared" si="63"/>
        <v>#REF!</v>
      </c>
      <c r="T137" s="185">
        <f t="shared" si="64"/>
        <v>0</v>
      </c>
      <c r="U137" s="185" t="e">
        <f t="shared" si="65"/>
        <v>#REF!</v>
      </c>
      <c r="V137" s="185">
        <f t="shared" si="66"/>
        <v>0</v>
      </c>
      <c r="W137" s="185" t="e">
        <f t="shared" si="67"/>
        <v>#REF!</v>
      </c>
      <c r="X137" s="185">
        <f t="shared" si="68"/>
        <v>0</v>
      </c>
      <c r="Y137" s="185" t="e">
        <f t="shared" si="69"/>
        <v>#REF!</v>
      </c>
      <c r="Z137" s="251">
        <f t="shared" si="70"/>
        <v>0</v>
      </c>
      <c r="AA137" s="252"/>
    </row>
    <row r="138" spans="1:27" s="238" customFormat="1" ht="15.75" hidden="1" x14ac:dyDescent="0.2">
      <c r="A138" s="177">
        <v>76</v>
      </c>
      <c r="B138" s="177" t="s">
        <v>136</v>
      </c>
      <c r="C138" s="177">
        <v>0</v>
      </c>
      <c r="D138" s="177">
        <v>0</v>
      </c>
      <c r="E138" s="177">
        <v>23</v>
      </c>
      <c r="F138" s="177">
        <v>16</v>
      </c>
      <c r="G138" s="177">
        <f t="shared" si="55"/>
        <v>39</v>
      </c>
      <c r="H138" s="177">
        <v>1.2</v>
      </c>
      <c r="I138" s="177">
        <v>1</v>
      </c>
      <c r="J138" s="177">
        <f t="shared" si="56"/>
        <v>0</v>
      </c>
      <c r="K138" s="177">
        <v>3.7389999999999999</v>
      </c>
      <c r="L138" s="177">
        <f t="shared" si="54"/>
        <v>0</v>
      </c>
      <c r="M138" s="177" t="e">
        <f t="shared" si="57"/>
        <v>#REF!</v>
      </c>
      <c r="N138" s="250">
        <f t="shared" si="58"/>
        <v>0</v>
      </c>
      <c r="O138" s="185" t="e">
        <f t="shared" si="59"/>
        <v>#REF!</v>
      </c>
      <c r="P138" s="185">
        <f t="shared" si="60"/>
        <v>0</v>
      </c>
      <c r="Q138" s="185" t="e">
        <f t="shared" si="61"/>
        <v>#REF!</v>
      </c>
      <c r="R138" s="185">
        <f t="shared" si="62"/>
        <v>0</v>
      </c>
      <c r="S138" s="185" t="e">
        <f t="shared" si="63"/>
        <v>#REF!</v>
      </c>
      <c r="T138" s="185">
        <f t="shared" si="64"/>
        <v>0</v>
      </c>
      <c r="U138" s="185" t="e">
        <f t="shared" si="65"/>
        <v>#REF!</v>
      </c>
      <c r="V138" s="185">
        <f t="shared" si="66"/>
        <v>0</v>
      </c>
      <c r="W138" s="185" t="e">
        <f t="shared" si="67"/>
        <v>#REF!</v>
      </c>
      <c r="X138" s="185">
        <f t="shared" si="68"/>
        <v>0</v>
      </c>
      <c r="Y138" s="185" t="e">
        <f t="shared" si="69"/>
        <v>#REF!</v>
      </c>
      <c r="Z138" s="251">
        <f t="shared" si="70"/>
        <v>0</v>
      </c>
      <c r="AA138" s="252"/>
    </row>
    <row r="139" spans="1:27" s="238" customFormat="1" ht="15.75" hidden="1" x14ac:dyDescent="0.2">
      <c r="A139" s="253">
        <v>57</v>
      </c>
      <c r="B139" s="253" t="s">
        <v>136</v>
      </c>
      <c r="C139" s="177">
        <v>0</v>
      </c>
      <c r="D139" s="177">
        <v>0</v>
      </c>
      <c r="E139" s="253">
        <v>56</v>
      </c>
      <c r="F139" s="253">
        <v>65</v>
      </c>
      <c r="G139" s="177" t="e">
        <f>E139+((F139-E139)/(65-52.5))*((($E$11+$F$11)/2-$G$11)-52.5)</f>
        <v>#REF!</v>
      </c>
      <c r="H139" s="253">
        <v>1.2</v>
      </c>
      <c r="I139" s="253">
        <v>1</v>
      </c>
      <c r="J139" s="177" t="e">
        <f t="shared" si="56"/>
        <v>#REF!</v>
      </c>
      <c r="K139" s="253">
        <v>1.9630000000000001</v>
      </c>
      <c r="L139" s="177">
        <f t="shared" si="54"/>
        <v>0</v>
      </c>
      <c r="M139" s="177" t="e">
        <f t="shared" si="57"/>
        <v>#REF!</v>
      </c>
      <c r="N139" s="250">
        <f t="shared" si="58"/>
        <v>0</v>
      </c>
      <c r="O139" s="185" t="e">
        <f t="shared" si="59"/>
        <v>#REF!</v>
      </c>
      <c r="P139" s="185">
        <f t="shared" si="60"/>
        <v>0</v>
      </c>
      <c r="Q139" s="185" t="e">
        <f t="shared" si="61"/>
        <v>#REF!</v>
      </c>
      <c r="R139" s="185">
        <f t="shared" si="62"/>
        <v>0</v>
      </c>
      <c r="S139" s="185" t="e">
        <f t="shared" si="63"/>
        <v>#REF!</v>
      </c>
      <c r="T139" s="185">
        <f t="shared" si="64"/>
        <v>0</v>
      </c>
      <c r="U139" s="185" t="e">
        <f t="shared" si="65"/>
        <v>#REF!</v>
      </c>
      <c r="V139" s="185">
        <f t="shared" si="66"/>
        <v>0</v>
      </c>
      <c r="W139" s="185" t="e">
        <f t="shared" si="67"/>
        <v>#REF!</v>
      </c>
      <c r="X139" s="185">
        <f t="shared" si="68"/>
        <v>0</v>
      </c>
      <c r="Y139" s="185" t="e">
        <f t="shared" si="69"/>
        <v>#REF!</v>
      </c>
      <c r="Z139" s="251">
        <f t="shared" si="70"/>
        <v>0</v>
      </c>
      <c r="AA139" s="254"/>
    </row>
    <row r="140" spans="1:27" s="238" customFormat="1" ht="16.5" hidden="1" thickBot="1" x14ac:dyDescent="0.25">
      <c r="A140" s="253">
        <v>57</v>
      </c>
      <c r="B140" s="253" t="s">
        <v>136</v>
      </c>
      <c r="C140" s="177">
        <v>0</v>
      </c>
      <c r="D140" s="177">
        <v>0</v>
      </c>
      <c r="E140" s="253">
        <v>19</v>
      </c>
      <c r="F140" s="253">
        <v>13</v>
      </c>
      <c r="G140" s="253">
        <f t="shared" si="55"/>
        <v>32</v>
      </c>
      <c r="H140" s="253">
        <v>1.2</v>
      </c>
      <c r="I140" s="253">
        <v>1</v>
      </c>
      <c r="J140" s="177">
        <f t="shared" si="56"/>
        <v>0</v>
      </c>
      <c r="K140" s="253">
        <v>1.9630000000000001</v>
      </c>
      <c r="L140" s="177">
        <f t="shared" si="54"/>
        <v>0</v>
      </c>
      <c r="M140" s="177" t="e">
        <f t="shared" si="57"/>
        <v>#REF!</v>
      </c>
      <c r="N140" s="250">
        <f t="shared" si="58"/>
        <v>0</v>
      </c>
      <c r="O140" s="185" t="e">
        <f t="shared" si="59"/>
        <v>#REF!</v>
      </c>
      <c r="P140" s="185">
        <f t="shared" si="60"/>
        <v>0</v>
      </c>
      <c r="Q140" s="185" t="e">
        <f t="shared" si="61"/>
        <v>#REF!</v>
      </c>
      <c r="R140" s="185">
        <f t="shared" si="62"/>
        <v>0</v>
      </c>
      <c r="S140" s="185" t="e">
        <f t="shared" si="63"/>
        <v>#REF!</v>
      </c>
      <c r="T140" s="185">
        <f t="shared" si="64"/>
        <v>0</v>
      </c>
      <c r="U140" s="185" t="e">
        <f t="shared" si="65"/>
        <v>#REF!</v>
      </c>
      <c r="V140" s="185">
        <f t="shared" si="66"/>
        <v>0</v>
      </c>
      <c r="W140" s="185" t="e">
        <f t="shared" si="67"/>
        <v>#REF!</v>
      </c>
      <c r="X140" s="185">
        <f t="shared" si="68"/>
        <v>0</v>
      </c>
      <c r="Y140" s="185" t="e">
        <f t="shared" si="69"/>
        <v>#REF!</v>
      </c>
      <c r="Z140" s="251">
        <f t="shared" si="70"/>
        <v>0</v>
      </c>
      <c r="AA140" s="254"/>
    </row>
    <row r="141" spans="1:27" s="238" customFormat="1" ht="15.75" hidden="1" x14ac:dyDescent="0.2">
      <c r="A141" s="256" t="s">
        <v>139</v>
      </c>
      <c r="B141" s="257"/>
      <c r="C141" s="257">
        <f>SUM(C125:C140)</f>
        <v>0</v>
      </c>
      <c r="D141" s="257">
        <f>SUM(D125:D140)</f>
        <v>0</v>
      </c>
      <c r="E141" s="258"/>
      <c r="F141" s="258"/>
      <c r="G141" s="258"/>
      <c r="H141" s="258"/>
      <c r="I141" s="258"/>
      <c r="J141" s="258"/>
      <c r="K141" s="258"/>
      <c r="L141" s="258"/>
      <c r="M141" s="258" t="e">
        <f t="shared" ref="M141:Z141" si="71">SUM(M125:M139)</f>
        <v>#REF!</v>
      </c>
      <c r="N141" s="259">
        <f t="shared" si="71"/>
        <v>0</v>
      </c>
      <c r="O141" s="260" t="e">
        <f t="shared" si="71"/>
        <v>#REF!</v>
      </c>
      <c r="P141" s="260">
        <f t="shared" si="71"/>
        <v>0</v>
      </c>
      <c r="Q141" s="260" t="e">
        <f t="shared" si="71"/>
        <v>#REF!</v>
      </c>
      <c r="R141" s="260">
        <f t="shared" si="71"/>
        <v>0</v>
      </c>
      <c r="S141" s="260" t="e">
        <f t="shared" si="71"/>
        <v>#REF!</v>
      </c>
      <c r="T141" s="260">
        <f t="shared" si="71"/>
        <v>0</v>
      </c>
      <c r="U141" s="260" t="e">
        <f t="shared" si="71"/>
        <v>#REF!</v>
      </c>
      <c r="V141" s="260">
        <f t="shared" si="71"/>
        <v>0</v>
      </c>
      <c r="W141" s="260" t="e">
        <f t="shared" si="71"/>
        <v>#REF!</v>
      </c>
      <c r="X141" s="260">
        <f t="shared" si="71"/>
        <v>0</v>
      </c>
      <c r="Y141" s="260" t="e">
        <f t="shared" si="71"/>
        <v>#REF!</v>
      </c>
      <c r="Z141" s="261">
        <f t="shared" si="71"/>
        <v>0</v>
      </c>
      <c r="AA141" s="249"/>
    </row>
    <row r="142" spans="1:27" s="238" customFormat="1" ht="16.5" hidden="1" thickBot="1" x14ac:dyDescent="0.3">
      <c r="A142" s="264"/>
      <c r="B142" s="265" t="s">
        <v>140</v>
      </c>
      <c r="C142" s="265">
        <f>C126+C128+C133+C136</f>
        <v>0</v>
      </c>
      <c r="D142" s="265">
        <f>D126+D128+D133+D136</f>
        <v>0</v>
      </c>
      <c r="E142" s="266"/>
      <c r="F142" s="266"/>
      <c r="G142" s="266"/>
      <c r="H142" s="266"/>
      <c r="I142" s="266"/>
      <c r="J142" s="266"/>
      <c r="K142" s="266"/>
      <c r="L142" s="266"/>
      <c r="M142" s="266"/>
      <c r="N142" s="267" t="e">
        <f>ROUND(((M141+N141)*31*24*0.000001),2)</f>
        <v>#REF!</v>
      </c>
      <c r="O142" s="281"/>
      <c r="P142" s="281" t="e">
        <f>ROUND(((O141+P141)*28*24*0.000001),2)</f>
        <v>#REF!</v>
      </c>
      <c r="Q142" s="281"/>
      <c r="R142" s="281" t="e">
        <f>ROUND(((Q141+R141)*31*24*0.000001),2)</f>
        <v>#REF!</v>
      </c>
      <c r="S142" s="281"/>
      <c r="T142" s="281" t="e">
        <f>ROUND(((S141+T141)*13*24*0.000001),2)</f>
        <v>#REF!</v>
      </c>
      <c r="U142" s="281"/>
      <c r="V142" s="281" t="e">
        <f>ROUND(((U141+V141)*17*24*0.000001),2)</f>
        <v>#REF!</v>
      </c>
      <c r="W142" s="281"/>
      <c r="X142" s="281" t="e">
        <f>ROUND(((W141+X141)*30*24*0.000001),2)</f>
        <v>#REF!</v>
      </c>
      <c r="Y142" s="281"/>
      <c r="Z142" s="282" t="e">
        <f>ROUND(((Y141+Z141)*31*24*0.000001),2)</f>
        <v>#REF!</v>
      </c>
      <c r="AA142" s="268" t="e">
        <f>N142+P142+R142+T142+V142+X142+Z142</f>
        <v>#REF!</v>
      </c>
    </row>
    <row r="143" spans="1:27" s="238" customFormat="1" ht="15.75" hidden="1" x14ac:dyDescent="0.2">
      <c r="A143" s="270" t="s">
        <v>155</v>
      </c>
      <c r="B143" s="270"/>
      <c r="C143" s="270"/>
      <c r="D143" s="270"/>
      <c r="E143" s="270"/>
      <c r="F143" s="270"/>
      <c r="G143" s="270"/>
      <c r="H143" s="270"/>
      <c r="I143" s="270"/>
      <c r="J143" s="271"/>
      <c r="K143" s="270"/>
      <c r="L143" s="270"/>
      <c r="M143" s="271"/>
      <c r="N143" s="272"/>
      <c r="O143" s="273"/>
      <c r="P143" s="273"/>
      <c r="Q143" s="273"/>
      <c r="R143" s="273"/>
      <c r="S143" s="273"/>
      <c r="T143" s="273"/>
      <c r="U143" s="273"/>
      <c r="V143" s="273"/>
      <c r="W143" s="273"/>
      <c r="X143" s="273"/>
      <c r="Y143" s="273"/>
      <c r="Z143" s="274"/>
      <c r="AA143" s="275" t="s">
        <v>156</v>
      </c>
    </row>
    <row r="144" spans="1:27" s="238" customFormat="1" ht="15.75" hidden="1" x14ac:dyDescent="0.2">
      <c r="A144" s="177">
        <v>273</v>
      </c>
      <c r="B144" s="177" t="s">
        <v>136</v>
      </c>
      <c r="C144" s="177">
        <v>0</v>
      </c>
      <c r="D144" s="177">
        <v>0</v>
      </c>
      <c r="E144" s="177">
        <v>46</v>
      </c>
      <c r="F144" s="177">
        <v>30</v>
      </c>
      <c r="G144" s="177">
        <f>SUM(E144:F144)</f>
        <v>76</v>
      </c>
      <c r="H144" s="177">
        <v>1.2</v>
      </c>
      <c r="I144" s="177">
        <v>1</v>
      </c>
      <c r="J144" s="177">
        <f>H144*C144*G144*I144</f>
        <v>0</v>
      </c>
      <c r="K144" s="177">
        <v>51.9</v>
      </c>
      <c r="L144" s="177">
        <f t="shared" ref="L144:L151" si="72">(C144+D144)*K144*0.001</f>
        <v>0</v>
      </c>
      <c r="M144" s="177" t="e">
        <f>J144*(($E$4+$F$4-2*$G$4)/($E$11+$F$11-2*$G$11))</f>
        <v>#REF!</v>
      </c>
      <c r="N144" s="250">
        <f>0.00125*1*L144*($E$4+$F$4-2*5)*1000</f>
        <v>0</v>
      </c>
      <c r="O144" s="185" t="e">
        <f>J144*(($E$5+$F$5-2*$G$5)/($E$11+$F$11-2*$G$11))</f>
        <v>#REF!</v>
      </c>
      <c r="P144" s="185">
        <f>0.00125*1*L144*($E$5+$F$5-2*5)*1000</f>
        <v>0</v>
      </c>
      <c r="Q144" s="185" t="e">
        <f>J144*(($E$6+$F$6-2*$G$6)/($E$11+$F$11-2*$G$11))</f>
        <v>#REF!</v>
      </c>
      <c r="R144" s="185">
        <f>0.00125*1*L144*($E$6+$F$6-2*5)*1000</f>
        <v>0</v>
      </c>
      <c r="S144" s="185" t="e">
        <f>J144*(($E$7+$F$7-2*$G$7)/($E$11+$F$11-2*$G$11))</f>
        <v>#REF!</v>
      </c>
      <c r="T144" s="185">
        <f>0.00125*1*L144*($E$7+$F$7-2*5)*1000</f>
        <v>0</v>
      </c>
      <c r="U144" s="185" t="e">
        <f>J144*(($E$8+$F$8-2*$G$8)/($E$11+$F$11-2*$G$11))</f>
        <v>#REF!</v>
      </c>
      <c r="V144" s="185">
        <f>0.00125*1*L144*($E$8+$F$8-2*5)*1000</f>
        <v>0</v>
      </c>
      <c r="W144" s="185" t="e">
        <f>J144*(($E$9+$F$9-2*$G$9)/($E$11+$F$11-2*$G$11))</f>
        <v>#REF!</v>
      </c>
      <c r="X144" s="185">
        <f>0.00125*1*L144*($E$9+$F$9-2*5)*1000</f>
        <v>0</v>
      </c>
      <c r="Y144" s="185" t="e">
        <f>J144*(($E$10+$F$10-2*$G$10)/($E$11+$F$11-2*$G$11))</f>
        <v>#REF!</v>
      </c>
      <c r="Z144" s="251">
        <f>0.00125*1*L144*($E$10+$F$10-2*5)*1000</f>
        <v>0</v>
      </c>
      <c r="AA144" s="252"/>
    </row>
    <row r="145" spans="1:27" s="238" customFormat="1" ht="15.75" hidden="1" x14ac:dyDescent="0.2">
      <c r="A145" s="177">
        <v>219</v>
      </c>
      <c r="B145" s="177" t="s">
        <v>136</v>
      </c>
      <c r="C145" s="177">
        <v>0</v>
      </c>
      <c r="D145" s="177">
        <v>0</v>
      </c>
      <c r="E145" s="177">
        <v>41</v>
      </c>
      <c r="F145" s="177">
        <v>27</v>
      </c>
      <c r="G145" s="177">
        <f t="shared" ref="G145:G151" si="73">SUM(E145:F145)</f>
        <v>68</v>
      </c>
      <c r="H145" s="177">
        <v>1.2</v>
      </c>
      <c r="I145" s="177">
        <v>1</v>
      </c>
      <c r="J145" s="177">
        <f t="shared" ref="J145:J151" si="74">H145*C145*G145*I145</f>
        <v>0</v>
      </c>
      <c r="K145" s="177">
        <v>32.36</v>
      </c>
      <c r="L145" s="177">
        <f t="shared" si="72"/>
        <v>0</v>
      </c>
      <c r="M145" s="177" t="e">
        <f t="shared" ref="M145:M151" si="75">J145*(($E$4+$F$4-2*$G$4)/($E$11+$F$11-2*$G$11))</f>
        <v>#REF!</v>
      </c>
      <c r="N145" s="250">
        <f t="shared" ref="N145:N151" si="76">0.00125*1*L145*($E$4+$F$4-2*5)*1000</f>
        <v>0</v>
      </c>
      <c r="O145" s="185" t="e">
        <f t="shared" ref="O145:O151" si="77">J145*(($E$5+$F$5-2*$G$5)/($E$11+$F$11-2*$G$11))</f>
        <v>#REF!</v>
      </c>
      <c r="P145" s="185">
        <f t="shared" ref="P145:P151" si="78">0.00125*1*L145*($E$5+$F$5-2*5)*1000</f>
        <v>0</v>
      </c>
      <c r="Q145" s="185" t="e">
        <f t="shared" ref="Q145:Q151" si="79">J145*(($E$6+$F$6-2*$G$6)/($E$11+$F$11-2*$G$11))</f>
        <v>#REF!</v>
      </c>
      <c r="R145" s="185">
        <f t="shared" ref="R145:R151" si="80">0.00125*1*L145*($E$6+$F$6-2*5)*1000</f>
        <v>0</v>
      </c>
      <c r="S145" s="185" t="e">
        <f t="shared" ref="S145:S151" si="81">J145*(($E$7+$F$7-2*$G$7)/($E$11+$F$11-2*$G$11))</f>
        <v>#REF!</v>
      </c>
      <c r="T145" s="185">
        <f t="shared" ref="T145:T151" si="82">0.00125*1*L145*($E$7+$F$7-2*5)*1000</f>
        <v>0</v>
      </c>
      <c r="U145" s="185" t="e">
        <f t="shared" ref="U145:U151" si="83">J145*(($E$8+$F$8-2*$G$8)/($E$11+$F$11-2*$G$11))</f>
        <v>#REF!</v>
      </c>
      <c r="V145" s="185">
        <f t="shared" ref="V145:V151" si="84">0.00125*1*L145*($E$8+$F$8-2*5)*1000</f>
        <v>0</v>
      </c>
      <c r="W145" s="185" t="e">
        <f t="shared" ref="W145:W151" si="85">J145*(($E$9+$F$9-2*$G$9)/($E$11+$F$11-2*$G$11))</f>
        <v>#REF!</v>
      </c>
      <c r="X145" s="185">
        <f t="shared" ref="X145:X151" si="86">0.00125*1*L145*($E$9+$F$9-2*5)*1000</f>
        <v>0</v>
      </c>
      <c r="Y145" s="185" t="e">
        <f t="shared" ref="Y145:Y151" si="87">J145*(($E$10+$F$10-2*$G$10)/($E$11+$F$11-2*$G$11))</f>
        <v>#REF!</v>
      </c>
      <c r="Z145" s="251">
        <f t="shared" ref="Z145:Z151" si="88">0.00125*1*L145*($E$10+$F$10-2*5)*1000</f>
        <v>0</v>
      </c>
      <c r="AA145" s="252"/>
    </row>
    <row r="146" spans="1:27" s="238" customFormat="1" ht="15.75" hidden="1" x14ac:dyDescent="0.2">
      <c r="A146" s="177">
        <v>159</v>
      </c>
      <c r="B146" s="177" t="s">
        <v>136</v>
      </c>
      <c r="C146" s="177">
        <v>0</v>
      </c>
      <c r="D146" s="177">
        <v>0</v>
      </c>
      <c r="E146" s="177">
        <v>33</v>
      </c>
      <c r="F146" s="177">
        <v>22</v>
      </c>
      <c r="G146" s="177">
        <f t="shared" si="73"/>
        <v>55</v>
      </c>
      <c r="H146" s="177">
        <v>1.2</v>
      </c>
      <c r="I146" s="177">
        <v>1</v>
      </c>
      <c r="J146" s="177">
        <f t="shared" si="74"/>
        <v>0</v>
      </c>
      <c r="K146" s="177">
        <v>17.670000000000002</v>
      </c>
      <c r="L146" s="177">
        <f t="shared" si="72"/>
        <v>0</v>
      </c>
      <c r="M146" s="177" t="e">
        <f t="shared" si="75"/>
        <v>#REF!</v>
      </c>
      <c r="N146" s="250">
        <f t="shared" si="76"/>
        <v>0</v>
      </c>
      <c r="O146" s="185" t="e">
        <f t="shared" si="77"/>
        <v>#REF!</v>
      </c>
      <c r="P146" s="185">
        <f t="shared" si="78"/>
        <v>0</v>
      </c>
      <c r="Q146" s="185" t="e">
        <f t="shared" si="79"/>
        <v>#REF!</v>
      </c>
      <c r="R146" s="185">
        <f t="shared" si="80"/>
        <v>0</v>
      </c>
      <c r="S146" s="185" t="e">
        <f t="shared" si="81"/>
        <v>#REF!</v>
      </c>
      <c r="T146" s="185">
        <f t="shared" si="82"/>
        <v>0</v>
      </c>
      <c r="U146" s="185" t="e">
        <f t="shared" si="83"/>
        <v>#REF!</v>
      </c>
      <c r="V146" s="185">
        <f t="shared" si="84"/>
        <v>0</v>
      </c>
      <c r="W146" s="185" t="e">
        <f t="shared" si="85"/>
        <v>#REF!</v>
      </c>
      <c r="X146" s="185">
        <f t="shared" si="86"/>
        <v>0</v>
      </c>
      <c r="Y146" s="185" t="e">
        <f t="shared" si="87"/>
        <v>#REF!</v>
      </c>
      <c r="Z146" s="251">
        <f t="shared" si="88"/>
        <v>0</v>
      </c>
      <c r="AA146" s="252"/>
    </row>
    <row r="147" spans="1:27" s="238" customFormat="1" ht="15.75" hidden="1" x14ac:dyDescent="0.2">
      <c r="A147" s="177">
        <v>159</v>
      </c>
      <c r="B147" s="177" t="s">
        <v>148</v>
      </c>
      <c r="C147" s="177">
        <v>0</v>
      </c>
      <c r="D147" s="177">
        <v>0</v>
      </c>
      <c r="E147" s="177">
        <v>59</v>
      </c>
      <c r="F147" s="177">
        <v>45</v>
      </c>
      <c r="G147" s="177">
        <f t="shared" si="73"/>
        <v>104</v>
      </c>
      <c r="H147" s="177">
        <v>1.1499999999999999</v>
      </c>
      <c r="I147" s="177">
        <v>0.6</v>
      </c>
      <c r="J147" s="177">
        <f t="shared" si="74"/>
        <v>0</v>
      </c>
      <c r="K147" s="177">
        <v>17.670000000000002</v>
      </c>
      <c r="L147" s="177">
        <f t="shared" si="72"/>
        <v>0</v>
      </c>
      <c r="M147" s="177" t="e">
        <f t="shared" si="75"/>
        <v>#REF!</v>
      </c>
      <c r="N147" s="250">
        <f t="shared" si="76"/>
        <v>0</v>
      </c>
      <c r="O147" s="185" t="e">
        <f t="shared" si="77"/>
        <v>#REF!</v>
      </c>
      <c r="P147" s="185">
        <f t="shared" si="78"/>
        <v>0</v>
      </c>
      <c r="Q147" s="185" t="e">
        <f t="shared" si="79"/>
        <v>#REF!</v>
      </c>
      <c r="R147" s="185">
        <f t="shared" si="80"/>
        <v>0</v>
      </c>
      <c r="S147" s="185" t="e">
        <f t="shared" si="81"/>
        <v>#REF!</v>
      </c>
      <c r="T147" s="185">
        <f t="shared" si="82"/>
        <v>0</v>
      </c>
      <c r="U147" s="185" t="e">
        <f t="shared" si="83"/>
        <v>#REF!</v>
      </c>
      <c r="V147" s="185">
        <f t="shared" si="84"/>
        <v>0</v>
      </c>
      <c r="W147" s="185" t="e">
        <f t="shared" si="85"/>
        <v>#REF!</v>
      </c>
      <c r="X147" s="185">
        <f t="shared" si="86"/>
        <v>0</v>
      </c>
      <c r="Y147" s="185" t="e">
        <f t="shared" si="87"/>
        <v>#REF!</v>
      </c>
      <c r="Z147" s="251">
        <f t="shared" si="88"/>
        <v>0</v>
      </c>
      <c r="AA147" s="252"/>
    </row>
    <row r="148" spans="1:27" s="238" customFormat="1" ht="15.75" hidden="1" x14ac:dyDescent="0.2">
      <c r="A148" s="177">
        <v>108</v>
      </c>
      <c r="B148" s="177" t="s">
        <v>136</v>
      </c>
      <c r="C148" s="177">
        <v>0</v>
      </c>
      <c r="D148" s="177">
        <v>0</v>
      </c>
      <c r="E148" s="177">
        <v>28</v>
      </c>
      <c r="F148" s="177">
        <v>19</v>
      </c>
      <c r="G148" s="177">
        <f t="shared" si="73"/>
        <v>47</v>
      </c>
      <c r="H148" s="177">
        <v>1.2</v>
      </c>
      <c r="I148" s="177">
        <v>1</v>
      </c>
      <c r="J148" s="177">
        <f t="shared" si="74"/>
        <v>0</v>
      </c>
      <c r="K148" s="177">
        <v>7.8540000000000001</v>
      </c>
      <c r="L148" s="177">
        <f t="shared" si="72"/>
        <v>0</v>
      </c>
      <c r="M148" s="177" t="e">
        <f t="shared" si="75"/>
        <v>#REF!</v>
      </c>
      <c r="N148" s="250">
        <f t="shared" si="76"/>
        <v>0</v>
      </c>
      <c r="O148" s="185" t="e">
        <f t="shared" si="77"/>
        <v>#REF!</v>
      </c>
      <c r="P148" s="185">
        <f t="shared" si="78"/>
        <v>0</v>
      </c>
      <c r="Q148" s="185" t="e">
        <f t="shared" si="79"/>
        <v>#REF!</v>
      </c>
      <c r="R148" s="185">
        <f t="shared" si="80"/>
        <v>0</v>
      </c>
      <c r="S148" s="185" t="e">
        <f t="shared" si="81"/>
        <v>#REF!</v>
      </c>
      <c r="T148" s="185">
        <f t="shared" si="82"/>
        <v>0</v>
      </c>
      <c r="U148" s="185" t="e">
        <f t="shared" si="83"/>
        <v>#REF!</v>
      </c>
      <c r="V148" s="185">
        <f t="shared" si="84"/>
        <v>0</v>
      </c>
      <c r="W148" s="185" t="e">
        <f t="shared" si="85"/>
        <v>#REF!</v>
      </c>
      <c r="X148" s="185">
        <f t="shared" si="86"/>
        <v>0</v>
      </c>
      <c r="Y148" s="185" t="e">
        <f t="shared" si="87"/>
        <v>#REF!</v>
      </c>
      <c r="Z148" s="251">
        <f t="shared" si="88"/>
        <v>0</v>
      </c>
      <c r="AA148" s="252"/>
    </row>
    <row r="149" spans="1:27" s="238" customFormat="1" ht="15.75" hidden="1" x14ac:dyDescent="0.2">
      <c r="A149" s="253">
        <v>57</v>
      </c>
      <c r="B149" s="177" t="s">
        <v>136</v>
      </c>
      <c r="C149" s="177">
        <v>0</v>
      </c>
      <c r="D149" s="177">
        <v>0</v>
      </c>
      <c r="E149" s="253">
        <v>19</v>
      </c>
      <c r="F149" s="253">
        <v>13</v>
      </c>
      <c r="G149" s="177">
        <f t="shared" si="73"/>
        <v>32</v>
      </c>
      <c r="H149" s="253">
        <v>1.2</v>
      </c>
      <c r="I149" s="253">
        <v>1</v>
      </c>
      <c r="J149" s="177">
        <f t="shared" si="74"/>
        <v>0</v>
      </c>
      <c r="K149" s="253">
        <v>1.9630000000000001</v>
      </c>
      <c r="L149" s="177">
        <f t="shared" si="72"/>
        <v>0</v>
      </c>
      <c r="M149" s="177" t="e">
        <f t="shared" si="75"/>
        <v>#REF!</v>
      </c>
      <c r="N149" s="250">
        <f t="shared" si="76"/>
        <v>0</v>
      </c>
      <c r="O149" s="185" t="e">
        <f t="shared" si="77"/>
        <v>#REF!</v>
      </c>
      <c r="P149" s="185">
        <f t="shared" si="78"/>
        <v>0</v>
      </c>
      <c r="Q149" s="185" t="e">
        <f t="shared" si="79"/>
        <v>#REF!</v>
      </c>
      <c r="R149" s="185">
        <f t="shared" si="80"/>
        <v>0</v>
      </c>
      <c r="S149" s="185" t="e">
        <f t="shared" si="81"/>
        <v>#REF!</v>
      </c>
      <c r="T149" s="185">
        <f t="shared" si="82"/>
        <v>0</v>
      </c>
      <c r="U149" s="185" t="e">
        <f t="shared" si="83"/>
        <v>#REF!</v>
      </c>
      <c r="V149" s="185">
        <f t="shared" si="84"/>
        <v>0</v>
      </c>
      <c r="W149" s="185" t="e">
        <f t="shared" si="85"/>
        <v>#REF!</v>
      </c>
      <c r="X149" s="185">
        <f t="shared" si="86"/>
        <v>0</v>
      </c>
      <c r="Y149" s="185" t="e">
        <f t="shared" si="87"/>
        <v>#REF!</v>
      </c>
      <c r="Z149" s="251">
        <f t="shared" si="88"/>
        <v>0</v>
      </c>
      <c r="AA149" s="252"/>
    </row>
    <row r="150" spans="1:27" s="288" customFormat="1" ht="15.75" hidden="1" x14ac:dyDescent="0.2">
      <c r="A150" s="177">
        <v>46</v>
      </c>
      <c r="B150" s="177" t="s">
        <v>136</v>
      </c>
      <c r="C150" s="177">
        <v>0</v>
      </c>
      <c r="D150" s="177">
        <v>0</v>
      </c>
      <c r="E150" s="177">
        <v>18</v>
      </c>
      <c r="F150" s="177">
        <v>12</v>
      </c>
      <c r="G150" s="177">
        <f t="shared" si="73"/>
        <v>30</v>
      </c>
      <c r="H150" s="177">
        <v>1.2</v>
      </c>
      <c r="I150" s="177">
        <v>1</v>
      </c>
      <c r="J150" s="177">
        <f t="shared" si="74"/>
        <v>0</v>
      </c>
      <c r="K150" s="177">
        <v>1.32</v>
      </c>
      <c r="L150" s="177">
        <f t="shared" si="72"/>
        <v>0</v>
      </c>
      <c r="M150" s="177" t="e">
        <f t="shared" si="75"/>
        <v>#REF!</v>
      </c>
      <c r="N150" s="250">
        <f t="shared" si="76"/>
        <v>0</v>
      </c>
      <c r="O150" s="185" t="e">
        <f t="shared" si="77"/>
        <v>#REF!</v>
      </c>
      <c r="P150" s="185">
        <f t="shared" si="78"/>
        <v>0</v>
      </c>
      <c r="Q150" s="185" t="e">
        <f t="shared" si="79"/>
        <v>#REF!</v>
      </c>
      <c r="R150" s="185">
        <f t="shared" si="80"/>
        <v>0</v>
      </c>
      <c r="S150" s="185" t="e">
        <f t="shared" si="81"/>
        <v>#REF!</v>
      </c>
      <c r="T150" s="185">
        <f t="shared" si="82"/>
        <v>0</v>
      </c>
      <c r="U150" s="185" t="e">
        <f t="shared" si="83"/>
        <v>#REF!</v>
      </c>
      <c r="V150" s="185">
        <f t="shared" si="84"/>
        <v>0</v>
      </c>
      <c r="W150" s="185" t="e">
        <f t="shared" si="85"/>
        <v>#REF!</v>
      </c>
      <c r="X150" s="185">
        <f t="shared" si="86"/>
        <v>0</v>
      </c>
      <c r="Y150" s="185" t="e">
        <f t="shared" si="87"/>
        <v>#REF!</v>
      </c>
      <c r="Z150" s="251">
        <f t="shared" si="88"/>
        <v>0</v>
      </c>
      <c r="AA150" s="252"/>
    </row>
    <row r="151" spans="1:27" s="238" customFormat="1" ht="16.5" hidden="1" thickBot="1" x14ac:dyDescent="0.25">
      <c r="A151" s="253">
        <v>20</v>
      </c>
      <c r="B151" s="253" t="s">
        <v>136</v>
      </c>
      <c r="C151" s="177">
        <v>0</v>
      </c>
      <c r="D151" s="177">
        <v>0</v>
      </c>
      <c r="E151" s="253">
        <v>15</v>
      </c>
      <c r="F151" s="253">
        <v>10</v>
      </c>
      <c r="G151" s="253">
        <f t="shared" si="73"/>
        <v>25</v>
      </c>
      <c r="H151" s="253">
        <v>1.2</v>
      </c>
      <c r="I151" s="253">
        <v>1</v>
      </c>
      <c r="J151" s="253">
        <f t="shared" si="74"/>
        <v>0</v>
      </c>
      <c r="K151" s="253">
        <v>0.31419999999999998</v>
      </c>
      <c r="L151" s="253">
        <f t="shared" si="72"/>
        <v>0</v>
      </c>
      <c r="M151" s="177" t="e">
        <f t="shared" si="75"/>
        <v>#REF!</v>
      </c>
      <c r="N151" s="250">
        <f t="shared" si="76"/>
        <v>0</v>
      </c>
      <c r="O151" s="185" t="e">
        <f t="shared" si="77"/>
        <v>#REF!</v>
      </c>
      <c r="P151" s="185">
        <f t="shared" si="78"/>
        <v>0</v>
      </c>
      <c r="Q151" s="185" t="e">
        <f t="shared" si="79"/>
        <v>#REF!</v>
      </c>
      <c r="R151" s="185">
        <f t="shared" si="80"/>
        <v>0</v>
      </c>
      <c r="S151" s="185" t="e">
        <f t="shared" si="81"/>
        <v>#REF!</v>
      </c>
      <c r="T151" s="185">
        <f t="shared" si="82"/>
        <v>0</v>
      </c>
      <c r="U151" s="185" t="e">
        <f t="shared" si="83"/>
        <v>#REF!</v>
      </c>
      <c r="V151" s="185">
        <f t="shared" si="84"/>
        <v>0</v>
      </c>
      <c r="W151" s="185" t="e">
        <f t="shared" si="85"/>
        <v>#REF!</v>
      </c>
      <c r="X151" s="185">
        <f t="shared" si="86"/>
        <v>0</v>
      </c>
      <c r="Y151" s="185" t="e">
        <f t="shared" si="87"/>
        <v>#REF!</v>
      </c>
      <c r="Z151" s="251">
        <f t="shared" si="88"/>
        <v>0</v>
      </c>
      <c r="AA151" s="254"/>
    </row>
    <row r="152" spans="1:27" s="238" customFormat="1" ht="15.75" hidden="1" x14ac:dyDescent="0.2">
      <c r="A152" s="256" t="s">
        <v>139</v>
      </c>
      <c r="B152" s="257"/>
      <c r="C152" s="257">
        <f>SUM(C144:C151)</f>
        <v>0</v>
      </c>
      <c r="D152" s="257">
        <f>SUM(D144:D151)</f>
        <v>0</v>
      </c>
      <c r="E152" s="257"/>
      <c r="F152" s="257"/>
      <c r="G152" s="258"/>
      <c r="H152" s="257"/>
      <c r="I152" s="257"/>
      <c r="J152" s="258"/>
      <c r="K152" s="257"/>
      <c r="L152" s="258"/>
      <c r="M152" s="258" t="e">
        <f t="shared" ref="M152:Z152" si="89">SUM(M144:M151)</f>
        <v>#REF!</v>
      </c>
      <c r="N152" s="259">
        <f t="shared" si="89"/>
        <v>0</v>
      </c>
      <c r="O152" s="260" t="e">
        <f t="shared" si="89"/>
        <v>#REF!</v>
      </c>
      <c r="P152" s="260">
        <f t="shared" si="89"/>
        <v>0</v>
      </c>
      <c r="Q152" s="260" t="e">
        <f t="shared" si="89"/>
        <v>#REF!</v>
      </c>
      <c r="R152" s="260">
        <f t="shared" si="89"/>
        <v>0</v>
      </c>
      <c r="S152" s="260" t="e">
        <f t="shared" si="89"/>
        <v>#REF!</v>
      </c>
      <c r="T152" s="260">
        <f t="shared" si="89"/>
        <v>0</v>
      </c>
      <c r="U152" s="260" t="e">
        <f t="shared" si="89"/>
        <v>#REF!</v>
      </c>
      <c r="V152" s="260">
        <f t="shared" si="89"/>
        <v>0</v>
      </c>
      <c r="W152" s="260" t="e">
        <f t="shared" si="89"/>
        <v>#REF!</v>
      </c>
      <c r="X152" s="260">
        <f t="shared" si="89"/>
        <v>0</v>
      </c>
      <c r="Y152" s="260" t="e">
        <f t="shared" si="89"/>
        <v>#REF!</v>
      </c>
      <c r="Z152" s="261">
        <f t="shared" si="89"/>
        <v>0</v>
      </c>
      <c r="AA152" s="249"/>
    </row>
    <row r="153" spans="1:27" s="238" customFormat="1" ht="16.5" hidden="1" thickBot="1" x14ac:dyDescent="0.3">
      <c r="A153" s="264"/>
      <c r="B153" s="265" t="s">
        <v>140</v>
      </c>
      <c r="C153" s="265">
        <v>0</v>
      </c>
      <c r="D153" s="265">
        <v>0</v>
      </c>
      <c r="E153" s="265"/>
      <c r="F153" s="265"/>
      <c r="G153" s="266"/>
      <c r="H153" s="265"/>
      <c r="I153" s="265"/>
      <c r="J153" s="266"/>
      <c r="K153" s="265"/>
      <c r="L153" s="266"/>
      <c r="M153" s="266"/>
      <c r="N153" s="267" t="e">
        <f>ROUND(((M152+N152)*31*24*0.000001),2)</f>
        <v>#REF!</v>
      </c>
      <c r="O153" s="281"/>
      <c r="P153" s="281" t="e">
        <f>ROUND(((O152+P152)*28*24*0.000001),2)</f>
        <v>#REF!</v>
      </c>
      <c r="Q153" s="281"/>
      <c r="R153" s="281" t="e">
        <f>ROUND(((Q152+R152)*31*24*0.000001),2)</f>
        <v>#REF!</v>
      </c>
      <c r="S153" s="281"/>
      <c r="T153" s="281" t="e">
        <f>ROUND(((S152+T152)*13*24*0.000001),2)</f>
        <v>#REF!</v>
      </c>
      <c r="U153" s="281"/>
      <c r="V153" s="281" t="e">
        <f>ROUND(((U152+V152)*17*24*0.000001),2)</f>
        <v>#REF!</v>
      </c>
      <c r="W153" s="281"/>
      <c r="X153" s="281" t="e">
        <f>ROUND(((W152+X152)*30*24*0.000001),2)</f>
        <v>#REF!</v>
      </c>
      <c r="Y153" s="281"/>
      <c r="Z153" s="282" t="e">
        <f>ROUND(((Y152+Z152)*31*24*0.000001),2)</f>
        <v>#REF!</v>
      </c>
      <c r="AA153" s="268" t="e">
        <f>N153+P153+R153+T153+V153+X153+Z153</f>
        <v>#REF!</v>
      </c>
    </row>
    <row r="154" spans="1:27" s="238" customFormat="1" ht="15.75" hidden="1" x14ac:dyDescent="0.2">
      <c r="A154" s="283" t="s">
        <v>157</v>
      </c>
      <c r="B154" s="284"/>
      <c r="C154" s="284"/>
      <c r="D154" s="284"/>
      <c r="E154" s="284"/>
      <c r="F154" s="284"/>
      <c r="G154" s="271"/>
      <c r="H154" s="284"/>
      <c r="I154" s="284"/>
      <c r="J154" s="271"/>
      <c r="K154" s="284"/>
      <c r="L154" s="271"/>
      <c r="M154" s="271"/>
      <c r="N154" s="272"/>
      <c r="O154" s="273"/>
      <c r="P154" s="273"/>
      <c r="Q154" s="273"/>
      <c r="R154" s="273"/>
      <c r="S154" s="273"/>
      <c r="T154" s="273"/>
      <c r="U154" s="273"/>
      <c r="V154" s="273"/>
      <c r="W154" s="273"/>
      <c r="X154" s="273"/>
      <c r="Y154" s="273"/>
      <c r="Z154" s="274"/>
      <c r="AA154" s="275" t="s">
        <v>158</v>
      </c>
    </row>
    <row r="155" spans="1:27" s="238" customFormat="1" ht="15.75" hidden="1" x14ac:dyDescent="0.2">
      <c r="A155" s="177">
        <v>219</v>
      </c>
      <c r="B155" s="177" t="s">
        <v>136</v>
      </c>
      <c r="C155" s="177"/>
      <c r="D155" s="177"/>
      <c r="E155" s="177">
        <v>113</v>
      </c>
      <c r="F155" s="177">
        <v>130</v>
      </c>
      <c r="G155" s="177" t="e">
        <f>E155+((F155-E155)/(65-52.5))*((($E$11+$F$11)/2-$G$11)-52.5)</f>
        <v>#REF!</v>
      </c>
      <c r="H155" s="177">
        <v>1.2</v>
      </c>
      <c r="I155" s="177">
        <v>1</v>
      </c>
      <c r="J155" s="177" t="e">
        <f>H155*C155*G155*I155</f>
        <v>#REF!</v>
      </c>
      <c r="K155" s="177">
        <v>32.36</v>
      </c>
      <c r="L155" s="177">
        <f>(C155+D155)*K155*0.001</f>
        <v>0</v>
      </c>
      <c r="M155" s="177" t="e">
        <f>J155*(($E$4+$F$4-2*$G$4)/($E$11+$F$11-2*$G$11))</f>
        <v>#REF!</v>
      </c>
      <c r="N155" s="250">
        <f>0.00125*1*L155*($E$4+$F$4-2*5)*1000</f>
        <v>0</v>
      </c>
      <c r="O155" s="185" t="e">
        <f>J155*(($E$5+$F$5-2*$G$5)/($E$11+$F$11-2*$G$11))</f>
        <v>#REF!</v>
      </c>
      <c r="P155" s="185">
        <f>0.00125*1*L155*($E$5+$F$5-2*5)*1000</f>
        <v>0</v>
      </c>
      <c r="Q155" s="185" t="e">
        <f>J155*(($E$6+$F$6-2*$G$6)/($E$11+$F$11-2*$G$11))</f>
        <v>#REF!</v>
      </c>
      <c r="R155" s="185">
        <f>0.00125*1*L155*($E$6+$F$6-2*5)*1000</f>
        <v>0</v>
      </c>
      <c r="S155" s="185" t="e">
        <f>J155*(($E$7+$F$7-2*$G$7)/($E$11+$F$11-2*$G$11))</f>
        <v>#REF!</v>
      </c>
      <c r="T155" s="185">
        <f>0.00125*1*L155*($E$7+$F$7-2*5)*1000</f>
        <v>0</v>
      </c>
      <c r="U155" s="185" t="e">
        <f>J155*(($E$8+$F$8-2*$G$8)/($E$11+$F$11-2*$G$11))</f>
        <v>#REF!</v>
      </c>
      <c r="V155" s="185">
        <f>0.00125*1*L155*($E$8+$F$8-2*5)*1000</f>
        <v>0</v>
      </c>
      <c r="W155" s="185" t="e">
        <f>J155*(($E$9+$F$9-2*$G$9)/($E$11+$F$11-2*$G$11))</f>
        <v>#REF!</v>
      </c>
      <c r="X155" s="185">
        <f>0.00125*1*L155*($E$9+$F$9-2*5)*1000</f>
        <v>0</v>
      </c>
      <c r="Y155" s="185" t="e">
        <f>J155*(($E$10+$F$10-2*$G$10)/($E$11+$F$11-2*$G$11))</f>
        <v>#REF!</v>
      </c>
      <c r="Z155" s="251">
        <f>0.00125*1*L155*($E$10+$F$10-2*5)*1000</f>
        <v>0</v>
      </c>
      <c r="AA155" s="252"/>
    </row>
    <row r="156" spans="1:27" s="238" customFormat="1" ht="15.75" hidden="1" x14ac:dyDescent="0.2">
      <c r="A156" s="177">
        <v>159</v>
      </c>
      <c r="B156" s="177" t="s">
        <v>136</v>
      </c>
      <c r="C156" s="177"/>
      <c r="D156" s="177"/>
      <c r="E156" s="177">
        <v>94</v>
      </c>
      <c r="F156" s="177">
        <v>107</v>
      </c>
      <c r="G156" s="177" t="e">
        <f>E156+((F156-E156)/(65-52.5))*((($E$11+$F$11)/2-$G$11)-52.5)</f>
        <v>#REF!</v>
      </c>
      <c r="H156" s="177">
        <v>1.2</v>
      </c>
      <c r="I156" s="177">
        <v>1</v>
      </c>
      <c r="J156" s="177" t="e">
        <f>H156*C156*G156*I156</f>
        <v>#REF!</v>
      </c>
      <c r="K156" s="177">
        <v>17.670000000000002</v>
      </c>
      <c r="L156" s="177">
        <f>(C156+D156)*K156*0.001</f>
        <v>0</v>
      </c>
      <c r="M156" s="177" t="e">
        <f t="shared" ref="M156:M162" si="90">J156*(($E$4+$F$4-2*$G$4)/($E$11+$F$11-2*$G$11))</f>
        <v>#REF!</v>
      </c>
      <c r="N156" s="250">
        <f t="shared" ref="N156:N162" si="91">0.00125*1*L156*($E$4+$F$4-2*5)*1000</f>
        <v>0</v>
      </c>
      <c r="O156" s="185" t="e">
        <f t="shared" ref="O156:O162" si="92">J156*(($E$5+$F$5-2*$G$5)/($E$11+$F$11-2*$G$11))</f>
        <v>#REF!</v>
      </c>
      <c r="P156" s="185">
        <f t="shared" ref="P156:P162" si="93">0.00125*1*L156*($E$5+$F$5-2*5)*1000</f>
        <v>0</v>
      </c>
      <c r="Q156" s="185" t="e">
        <f t="shared" ref="Q156:Q162" si="94">J156*(($E$6+$F$6-2*$G$6)/($E$11+$F$11-2*$G$11))</f>
        <v>#REF!</v>
      </c>
      <c r="R156" s="185">
        <f t="shared" ref="R156:R162" si="95">0.00125*1*L156*($E$6+$F$6-2*5)*1000</f>
        <v>0</v>
      </c>
      <c r="S156" s="185" t="e">
        <f t="shared" ref="S156:S162" si="96">J156*(($E$7+$F$7-2*$G$7)/($E$11+$F$11-2*$G$11))</f>
        <v>#REF!</v>
      </c>
      <c r="T156" s="185">
        <f t="shared" ref="T156:T162" si="97">0.00125*1*L156*($E$7+$F$7-2*5)*1000</f>
        <v>0</v>
      </c>
      <c r="U156" s="185" t="e">
        <f t="shared" ref="U156:U162" si="98">J156*(($E$8+$F$8-2*$G$8)/($E$11+$F$11-2*$G$11))</f>
        <v>#REF!</v>
      </c>
      <c r="V156" s="185">
        <f t="shared" ref="V156:V162" si="99">0.00125*1*L156*($E$8+$F$8-2*5)*1000</f>
        <v>0</v>
      </c>
      <c r="W156" s="185" t="e">
        <f t="shared" ref="W156:W162" si="100">J156*(($E$9+$F$9-2*$G$9)/($E$11+$F$11-2*$G$11))</f>
        <v>#REF!</v>
      </c>
      <c r="X156" s="185">
        <f t="shared" ref="X156:X162" si="101">0.00125*1*L156*($E$9+$F$9-2*5)*1000</f>
        <v>0</v>
      </c>
      <c r="Y156" s="185" t="e">
        <f t="shared" ref="Y156:Y162" si="102">J156*(($E$10+$F$10-2*$G$10)/($E$11+$F$11-2*$G$11))</f>
        <v>#REF!</v>
      </c>
      <c r="Z156" s="251">
        <f t="shared" ref="Z156:Z162" si="103">0.00125*1*L156*($E$10+$F$10-2*5)*1000</f>
        <v>0</v>
      </c>
      <c r="AA156" s="252"/>
    </row>
    <row r="157" spans="1:27" s="238" customFormat="1" ht="15.75" hidden="1" x14ac:dyDescent="0.2">
      <c r="A157" s="177">
        <v>159</v>
      </c>
      <c r="B157" s="177" t="s">
        <v>136</v>
      </c>
      <c r="C157" s="177"/>
      <c r="D157" s="177"/>
      <c r="E157" s="177">
        <v>33</v>
      </c>
      <c r="F157" s="177">
        <v>22</v>
      </c>
      <c r="G157" s="177">
        <f>SUM(E157:F157)</f>
        <v>55</v>
      </c>
      <c r="H157" s="177">
        <v>1.2</v>
      </c>
      <c r="I157" s="177">
        <v>1</v>
      </c>
      <c r="J157" s="177">
        <f t="shared" ref="J157:J162" si="104">H157*C157*G157*I157</f>
        <v>0</v>
      </c>
      <c r="K157" s="177">
        <v>17.670000000000002</v>
      </c>
      <c r="L157" s="177">
        <f t="shared" ref="L157:L162" si="105">(C157+D157)*K157*0.001</f>
        <v>0</v>
      </c>
      <c r="M157" s="177" t="e">
        <f t="shared" si="90"/>
        <v>#REF!</v>
      </c>
      <c r="N157" s="250">
        <f t="shared" si="91"/>
        <v>0</v>
      </c>
      <c r="O157" s="185" t="e">
        <f t="shared" si="92"/>
        <v>#REF!</v>
      </c>
      <c r="P157" s="185">
        <f t="shared" si="93"/>
        <v>0</v>
      </c>
      <c r="Q157" s="185" t="e">
        <f t="shared" si="94"/>
        <v>#REF!</v>
      </c>
      <c r="R157" s="185">
        <f t="shared" si="95"/>
        <v>0</v>
      </c>
      <c r="S157" s="185" t="e">
        <f t="shared" si="96"/>
        <v>#REF!</v>
      </c>
      <c r="T157" s="185">
        <f t="shared" si="97"/>
        <v>0</v>
      </c>
      <c r="U157" s="185" t="e">
        <f t="shared" si="98"/>
        <v>#REF!</v>
      </c>
      <c r="V157" s="185">
        <f t="shared" si="99"/>
        <v>0</v>
      </c>
      <c r="W157" s="185" t="e">
        <f t="shared" si="100"/>
        <v>#REF!</v>
      </c>
      <c r="X157" s="185">
        <f t="shared" si="101"/>
        <v>0</v>
      </c>
      <c r="Y157" s="185" t="e">
        <f t="shared" si="102"/>
        <v>#REF!</v>
      </c>
      <c r="Z157" s="251">
        <f t="shared" si="103"/>
        <v>0</v>
      </c>
      <c r="AA157" s="252"/>
    </row>
    <row r="158" spans="1:27" s="238" customFormat="1" ht="15.75" hidden="1" x14ac:dyDescent="0.2">
      <c r="A158" s="177">
        <v>108</v>
      </c>
      <c r="B158" s="177" t="s">
        <v>136</v>
      </c>
      <c r="C158" s="177"/>
      <c r="D158" s="177"/>
      <c r="E158" s="177">
        <v>76</v>
      </c>
      <c r="F158" s="177">
        <v>88</v>
      </c>
      <c r="G158" s="177" t="e">
        <f>E158+((F158-E158)/(65-52.5))*((($E$11+$F$11)/2-$G$11)-52.5)</f>
        <v>#REF!</v>
      </c>
      <c r="H158" s="177">
        <v>1.2</v>
      </c>
      <c r="I158" s="177">
        <v>1</v>
      </c>
      <c r="J158" s="177" t="e">
        <f t="shared" si="104"/>
        <v>#REF!</v>
      </c>
      <c r="K158" s="177">
        <v>7.8540000000000001</v>
      </c>
      <c r="L158" s="177">
        <f t="shared" si="105"/>
        <v>0</v>
      </c>
      <c r="M158" s="177" t="e">
        <f t="shared" si="90"/>
        <v>#REF!</v>
      </c>
      <c r="N158" s="250">
        <f t="shared" si="91"/>
        <v>0</v>
      </c>
      <c r="O158" s="185" t="e">
        <f t="shared" si="92"/>
        <v>#REF!</v>
      </c>
      <c r="P158" s="185">
        <f t="shared" si="93"/>
        <v>0</v>
      </c>
      <c r="Q158" s="185" t="e">
        <f t="shared" si="94"/>
        <v>#REF!</v>
      </c>
      <c r="R158" s="185">
        <f t="shared" si="95"/>
        <v>0</v>
      </c>
      <c r="S158" s="185" t="e">
        <f t="shared" si="96"/>
        <v>#REF!</v>
      </c>
      <c r="T158" s="185">
        <f t="shared" si="97"/>
        <v>0</v>
      </c>
      <c r="U158" s="185" t="e">
        <f t="shared" si="98"/>
        <v>#REF!</v>
      </c>
      <c r="V158" s="185">
        <f t="shared" si="99"/>
        <v>0</v>
      </c>
      <c r="W158" s="185" t="e">
        <f t="shared" si="100"/>
        <v>#REF!</v>
      </c>
      <c r="X158" s="185">
        <f t="shared" si="101"/>
        <v>0</v>
      </c>
      <c r="Y158" s="185" t="e">
        <f t="shared" si="102"/>
        <v>#REF!</v>
      </c>
      <c r="Z158" s="251">
        <f t="shared" si="103"/>
        <v>0</v>
      </c>
      <c r="AA158" s="252"/>
    </row>
    <row r="159" spans="1:27" s="238" customFormat="1" ht="15.75" hidden="1" x14ac:dyDescent="0.2">
      <c r="A159" s="253">
        <v>108</v>
      </c>
      <c r="B159" s="177" t="s">
        <v>136</v>
      </c>
      <c r="C159" s="253"/>
      <c r="D159" s="253"/>
      <c r="E159" s="253">
        <v>28</v>
      </c>
      <c r="F159" s="253">
        <v>19</v>
      </c>
      <c r="G159" s="253">
        <f>SUM(E159:F159)</f>
        <v>47</v>
      </c>
      <c r="H159" s="177">
        <v>1.2</v>
      </c>
      <c r="I159" s="177">
        <v>1</v>
      </c>
      <c r="J159" s="177">
        <f t="shared" si="104"/>
        <v>0</v>
      </c>
      <c r="K159" s="177">
        <v>7.8540000000000001</v>
      </c>
      <c r="L159" s="177">
        <f t="shared" si="105"/>
        <v>0</v>
      </c>
      <c r="M159" s="177" t="e">
        <f t="shared" si="90"/>
        <v>#REF!</v>
      </c>
      <c r="N159" s="250">
        <f t="shared" si="91"/>
        <v>0</v>
      </c>
      <c r="O159" s="185" t="e">
        <f t="shared" si="92"/>
        <v>#REF!</v>
      </c>
      <c r="P159" s="185">
        <f t="shared" si="93"/>
        <v>0</v>
      </c>
      <c r="Q159" s="185" t="e">
        <f t="shared" si="94"/>
        <v>#REF!</v>
      </c>
      <c r="R159" s="185">
        <f t="shared" si="95"/>
        <v>0</v>
      </c>
      <c r="S159" s="185" t="e">
        <f t="shared" si="96"/>
        <v>#REF!</v>
      </c>
      <c r="T159" s="185">
        <f t="shared" si="97"/>
        <v>0</v>
      </c>
      <c r="U159" s="185" t="e">
        <f t="shared" si="98"/>
        <v>#REF!</v>
      </c>
      <c r="V159" s="185">
        <f t="shared" si="99"/>
        <v>0</v>
      </c>
      <c r="W159" s="185" t="e">
        <f t="shared" si="100"/>
        <v>#REF!</v>
      </c>
      <c r="X159" s="185">
        <f t="shared" si="101"/>
        <v>0</v>
      </c>
      <c r="Y159" s="185" t="e">
        <f t="shared" si="102"/>
        <v>#REF!</v>
      </c>
      <c r="Z159" s="251">
        <f t="shared" si="103"/>
        <v>0</v>
      </c>
      <c r="AA159" s="254"/>
    </row>
    <row r="160" spans="1:27" s="238" customFormat="1" ht="15.75" hidden="1" x14ac:dyDescent="0.2">
      <c r="A160" s="253">
        <v>89</v>
      </c>
      <c r="B160" s="177" t="s">
        <v>136</v>
      </c>
      <c r="C160" s="253"/>
      <c r="D160" s="253"/>
      <c r="E160" s="253">
        <v>69</v>
      </c>
      <c r="F160" s="253">
        <v>80</v>
      </c>
      <c r="G160" s="177" t="e">
        <f>E160+((F160-E160)/(65-52.5))*((($E$11+$F$11)/2-$G$11)-52.5)</f>
        <v>#REF!</v>
      </c>
      <c r="H160" s="177">
        <v>1.2</v>
      </c>
      <c r="I160" s="177">
        <v>1</v>
      </c>
      <c r="J160" s="177" t="e">
        <f t="shared" si="104"/>
        <v>#REF!</v>
      </c>
      <c r="K160" s="177">
        <v>5.1529999999999996</v>
      </c>
      <c r="L160" s="177">
        <f t="shared" si="105"/>
        <v>0</v>
      </c>
      <c r="M160" s="177" t="e">
        <f t="shared" si="90"/>
        <v>#REF!</v>
      </c>
      <c r="N160" s="250">
        <f t="shared" si="91"/>
        <v>0</v>
      </c>
      <c r="O160" s="185" t="e">
        <f t="shared" si="92"/>
        <v>#REF!</v>
      </c>
      <c r="P160" s="185">
        <f t="shared" si="93"/>
        <v>0</v>
      </c>
      <c r="Q160" s="185" t="e">
        <f t="shared" si="94"/>
        <v>#REF!</v>
      </c>
      <c r="R160" s="185">
        <f t="shared" si="95"/>
        <v>0</v>
      </c>
      <c r="S160" s="185" t="e">
        <f t="shared" si="96"/>
        <v>#REF!</v>
      </c>
      <c r="T160" s="185">
        <f t="shared" si="97"/>
        <v>0</v>
      </c>
      <c r="U160" s="185" t="e">
        <f t="shared" si="98"/>
        <v>#REF!</v>
      </c>
      <c r="V160" s="185">
        <f t="shared" si="99"/>
        <v>0</v>
      </c>
      <c r="W160" s="185" t="e">
        <f t="shared" si="100"/>
        <v>#REF!</v>
      </c>
      <c r="X160" s="185">
        <f t="shared" si="101"/>
        <v>0</v>
      </c>
      <c r="Y160" s="185" t="e">
        <f t="shared" si="102"/>
        <v>#REF!</v>
      </c>
      <c r="Z160" s="251">
        <f t="shared" si="103"/>
        <v>0</v>
      </c>
      <c r="AA160" s="254"/>
    </row>
    <row r="161" spans="1:27" s="238" customFormat="1" ht="15.75" hidden="1" x14ac:dyDescent="0.2">
      <c r="A161" s="177">
        <v>57</v>
      </c>
      <c r="B161" s="253" t="s">
        <v>136</v>
      </c>
      <c r="C161" s="253"/>
      <c r="D161" s="253"/>
      <c r="E161" s="253">
        <v>56</v>
      </c>
      <c r="F161" s="253">
        <v>65</v>
      </c>
      <c r="G161" s="177" t="e">
        <f>E161+((F161-E161)/(65-52.5))*((($E$11+$F$11)/2-$G$11)-52.5)</f>
        <v>#REF!</v>
      </c>
      <c r="H161" s="177">
        <v>1.2</v>
      </c>
      <c r="I161" s="177">
        <v>1</v>
      </c>
      <c r="J161" s="177" t="e">
        <f t="shared" si="104"/>
        <v>#REF!</v>
      </c>
      <c r="K161" s="253">
        <v>1.9630000000000001</v>
      </c>
      <c r="L161" s="177">
        <f t="shared" si="105"/>
        <v>0</v>
      </c>
      <c r="M161" s="177" t="e">
        <f t="shared" si="90"/>
        <v>#REF!</v>
      </c>
      <c r="N161" s="250">
        <f t="shared" si="91"/>
        <v>0</v>
      </c>
      <c r="O161" s="185" t="e">
        <f t="shared" si="92"/>
        <v>#REF!</v>
      </c>
      <c r="P161" s="185">
        <f t="shared" si="93"/>
        <v>0</v>
      </c>
      <c r="Q161" s="185" t="e">
        <f t="shared" si="94"/>
        <v>#REF!</v>
      </c>
      <c r="R161" s="185">
        <f t="shared" si="95"/>
        <v>0</v>
      </c>
      <c r="S161" s="185" t="e">
        <f t="shared" si="96"/>
        <v>#REF!</v>
      </c>
      <c r="T161" s="185">
        <f t="shared" si="97"/>
        <v>0</v>
      </c>
      <c r="U161" s="185" t="e">
        <f t="shared" si="98"/>
        <v>#REF!</v>
      </c>
      <c r="V161" s="185">
        <f t="shared" si="99"/>
        <v>0</v>
      </c>
      <c r="W161" s="185" t="e">
        <f t="shared" si="100"/>
        <v>#REF!</v>
      </c>
      <c r="X161" s="185">
        <f t="shared" si="101"/>
        <v>0</v>
      </c>
      <c r="Y161" s="185" t="e">
        <f t="shared" si="102"/>
        <v>#REF!</v>
      </c>
      <c r="Z161" s="251">
        <f t="shared" si="103"/>
        <v>0</v>
      </c>
      <c r="AA161" s="254"/>
    </row>
    <row r="162" spans="1:27" s="238" customFormat="1" ht="16.5" hidden="1" thickBot="1" x14ac:dyDescent="0.25">
      <c r="A162" s="289">
        <v>57</v>
      </c>
      <c r="B162" s="253" t="s">
        <v>136</v>
      </c>
      <c r="C162" s="177"/>
      <c r="D162" s="177"/>
      <c r="E162" s="177">
        <v>19</v>
      </c>
      <c r="F162" s="177">
        <v>13</v>
      </c>
      <c r="G162" s="276">
        <f>SUM(E162:F162)</f>
        <v>32</v>
      </c>
      <c r="H162" s="177">
        <v>1.2</v>
      </c>
      <c r="I162" s="177">
        <v>1</v>
      </c>
      <c r="J162" s="177">
        <f t="shared" si="104"/>
        <v>0</v>
      </c>
      <c r="K162" s="253">
        <v>1.9630000000000001</v>
      </c>
      <c r="L162" s="177">
        <f t="shared" si="105"/>
        <v>0</v>
      </c>
      <c r="M162" s="177" t="e">
        <f t="shared" si="90"/>
        <v>#REF!</v>
      </c>
      <c r="N162" s="250">
        <f t="shared" si="91"/>
        <v>0</v>
      </c>
      <c r="O162" s="185" t="e">
        <f t="shared" si="92"/>
        <v>#REF!</v>
      </c>
      <c r="P162" s="185">
        <f t="shared" si="93"/>
        <v>0</v>
      </c>
      <c r="Q162" s="185" t="e">
        <f t="shared" si="94"/>
        <v>#REF!</v>
      </c>
      <c r="R162" s="185">
        <f t="shared" si="95"/>
        <v>0</v>
      </c>
      <c r="S162" s="185" t="e">
        <f t="shared" si="96"/>
        <v>#REF!</v>
      </c>
      <c r="T162" s="185">
        <f t="shared" si="97"/>
        <v>0</v>
      </c>
      <c r="U162" s="185" t="e">
        <f t="shared" si="98"/>
        <v>#REF!</v>
      </c>
      <c r="V162" s="185">
        <f t="shared" si="99"/>
        <v>0</v>
      </c>
      <c r="W162" s="185" t="e">
        <f t="shared" si="100"/>
        <v>#REF!</v>
      </c>
      <c r="X162" s="185">
        <f t="shared" si="101"/>
        <v>0</v>
      </c>
      <c r="Y162" s="185" t="e">
        <f t="shared" si="102"/>
        <v>#REF!</v>
      </c>
      <c r="Z162" s="251">
        <f t="shared" si="103"/>
        <v>0</v>
      </c>
      <c r="AA162" s="290"/>
    </row>
    <row r="163" spans="1:27" s="238" customFormat="1" ht="15.75" hidden="1" x14ac:dyDescent="0.2">
      <c r="A163" s="256" t="s">
        <v>139</v>
      </c>
      <c r="B163" s="258"/>
      <c r="C163" s="291">
        <f>SUM(C155:C162)</f>
        <v>0</v>
      </c>
      <c r="D163" s="291">
        <f>SUM(D155:D162)</f>
        <v>0</v>
      </c>
      <c r="E163" s="271"/>
      <c r="F163" s="271"/>
      <c r="G163" s="258"/>
      <c r="H163" s="258"/>
      <c r="I163" s="258"/>
      <c r="J163" s="258"/>
      <c r="K163" s="258"/>
      <c r="L163" s="258"/>
      <c r="M163" s="258" t="e">
        <f t="shared" ref="M163:Z163" si="106">SUM(M155:M161)</f>
        <v>#REF!</v>
      </c>
      <c r="N163" s="259">
        <f t="shared" si="106"/>
        <v>0</v>
      </c>
      <c r="O163" s="260" t="e">
        <f t="shared" si="106"/>
        <v>#REF!</v>
      </c>
      <c r="P163" s="260">
        <f t="shared" si="106"/>
        <v>0</v>
      </c>
      <c r="Q163" s="260" t="e">
        <f t="shared" si="106"/>
        <v>#REF!</v>
      </c>
      <c r="R163" s="260">
        <f t="shared" si="106"/>
        <v>0</v>
      </c>
      <c r="S163" s="260" t="e">
        <f t="shared" si="106"/>
        <v>#REF!</v>
      </c>
      <c r="T163" s="260">
        <f t="shared" si="106"/>
        <v>0</v>
      </c>
      <c r="U163" s="260" t="e">
        <f t="shared" si="106"/>
        <v>#REF!</v>
      </c>
      <c r="V163" s="260">
        <f t="shared" si="106"/>
        <v>0</v>
      </c>
      <c r="W163" s="260" t="e">
        <f t="shared" si="106"/>
        <v>#REF!</v>
      </c>
      <c r="X163" s="260">
        <f t="shared" si="106"/>
        <v>0</v>
      </c>
      <c r="Y163" s="260" t="e">
        <f t="shared" si="106"/>
        <v>#REF!</v>
      </c>
      <c r="Z163" s="261">
        <f t="shared" si="106"/>
        <v>0</v>
      </c>
      <c r="AA163" s="249"/>
    </row>
    <row r="164" spans="1:27" s="238" customFormat="1" ht="16.5" hidden="1" thickBot="1" x14ac:dyDescent="0.3">
      <c r="A164" s="277"/>
      <c r="B164" s="265" t="s">
        <v>140</v>
      </c>
      <c r="C164" s="265">
        <v>0</v>
      </c>
      <c r="D164" s="265">
        <v>0</v>
      </c>
      <c r="E164" s="266"/>
      <c r="F164" s="266"/>
      <c r="G164" s="266"/>
      <c r="H164" s="266"/>
      <c r="I164" s="266"/>
      <c r="J164" s="266"/>
      <c r="K164" s="266"/>
      <c r="L164" s="266"/>
      <c r="M164" s="266"/>
      <c r="N164" s="267" t="e">
        <f>ROUND(((M163+N163)*31*24*0.000001),2)</f>
        <v>#REF!</v>
      </c>
      <c r="O164" s="281"/>
      <c r="P164" s="281" t="e">
        <f>ROUND(((O163+P163)*28*24*0.000001),2)</f>
        <v>#REF!</v>
      </c>
      <c r="Q164" s="281"/>
      <c r="R164" s="281" t="e">
        <f>ROUND(((Q163+R163)*31*24*0.000001),2)</f>
        <v>#REF!</v>
      </c>
      <c r="S164" s="281"/>
      <c r="T164" s="281" t="e">
        <f>ROUND(((S163+T163)*14*24*0.000001),2)</f>
        <v>#REF!</v>
      </c>
      <c r="U164" s="281"/>
      <c r="V164" s="281" t="e">
        <f>ROUND(((U163+V163)*21*24*0.000001),2)</f>
        <v>#REF!</v>
      </c>
      <c r="W164" s="281"/>
      <c r="X164" s="281" t="e">
        <f>ROUND(((W163+X163)*30*24*0.000001),2)</f>
        <v>#REF!</v>
      </c>
      <c r="Y164" s="281"/>
      <c r="Z164" s="282" t="e">
        <f>ROUND(((Y163+Z163)*31*24*0.000001),2)</f>
        <v>#REF!</v>
      </c>
      <c r="AA164" s="268" t="e">
        <f>N164+P164+R164+T164+V164+X164+Z164</f>
        <v>#REF!</v>
      </c>
    </row>
    <row r="165" spans="1:27" s="238" customFormat="1" ht="15.75" hidden="1" x14ac:dyDescent="0.2">
      <c r="A165" s="283" t="s">
        <v>159</v>
      </c>
      <c r="B165" s="284"/>
      <c r="C165" s="284"/>
      <c r="D165" s="284"/>
      <c r="E165" s="284"/>
      <c r="F165" s="284"/>
      <c r="G165" s="271"/>
      <c r="H165" s="284"/>
      <c r="I165" s="284"/>
      <c r="J165" s="271"/>
      <c r="K165" s="284"/>
      <c r="L165" s="271"/>
      <c r="M165" s="271"/>
      <c r="N165" s="272"/>
      <c r="O165" s="273"/>
      <c r="P165" s="273"/>
      <c r="Q165" s="273"/>
      <c r="R165" s="273"/>
      <c r="S165" s="273"/>
      <c r="T165" s="273"/>
      <c r="U165" s="273"/>
      <c r="V165" s="273"/>
      <c r="W165" s="273"/>
      <c r="X165" s="273"/>
      <c r="Y165" s="273"/>
      <c r="Z165" s="274"/>
      <c r="AA165" s="275" t="s">
        <v>160</v>
      </c>
    </row>
    <row r="166" spans="1:27" s="238" customFormat="1" ht="15.75" hidden="1" x14ac:dyDescent="0.2">
      <c r="A166" s="177">
        <v>219</v>
      </c>
      <c r="B166" s="177" t="s">
        <v>136</v>
      </c>
      <c r="C166" s="177"/>
      <c r="D166" s="177"/>
      <c r="E166" s="177">
        <v>113</v>
      </c>
      <c r="F166" s="177">
        <v>130</v>
      </c>
      <c r="G166" s="177" t="e">
        <f>E166+((F166-E166)/(65-52.5))*((($E$11+$F$11)/2-$G$11)-52.5)</f>
        <v>#REF!</v>
      </c>
      <c r="H166" s="177">
        <v>1.2</v>
      </c>
      <c r="I166" s="177">
        <v>1</v>
      </c>
      <c r="J166" s="177" t="e">
        <f>H166*C166*G166*I166</f>
        <v>#REF!</v>
      </c>
      <c r="K166" s="177">
        <v>32.36</v>
      </c>
      <c r="L166" s="177">
        <f>(C166+D166)*K166*0.001</f>
        <v>0</v>
      </c>
      <c r="M166" s="177" t="e">
        <f>J166*(($E$4+$F$4-2*$G$4)/($E$11+$F$11-2*$G$11))</f>
        <v>#REF!</v>
      </c>
      <c r="N166" s="250">
        <f>0.00125*1*L166*($E$4+$F$4-2*5)*1000</f>
        <v>0</v>
      </c>
      <c r="O166" s="185" t="e">
        <f>J166*(($E$5+$F$5-2*$G$5)/($E$11+$F$11-2*$G$11))</f>
        <v>#REF!</v>
      </c>
      <c r="P166" s="185">
        <f>0.00125*1*L166*($E$5+$F$5-2*5)*1000</f>
        <v>0</v>
      </c>
      <c r="Q166" s="185" t="e">
        <f>J166*(($E$6+$F$6-2*$G$6)/($E$11+$F$11-2*$G$11))</f>
        <v>#REF!</v>
      </c>
      <c r="R166" s="185">
        <f>0.00125*1*L166*($E$6+$F$6-2*5)*1000</f>
        <v>0</v>
      </c>
      <c r="S166" s="185" t="e">
        <f>J166*(($E$7+$F$7-2*$G$7)/($E$11+$F$11-2*$G$11))</f>
        <v>#REF!</v>
      </c>
      <c r="T166" s="185">
        <f>0.00125*1*L166*($E$7+$F$7-2*5)*1000</f>
        <v>0</v>
      </c>
      <c r="U166" s="185" t="e">
        <f>J166*(($E$8+$F$8-2*$G$8)/($E$11+$F$11-2*$G$11))</f>
        <v>#REF!</v>
      </c>
      <c r="V166" s="185">
        <f>0.00125*1*L166*($E$8+$F$8-2*5)*1000</f>
        <v>0</v>
      </c>
      <c r="W166" s="185" t="e">
        <f>J166*(($E$9+$F$9-2*$G$9)/($E$11+$F$11-2*$G$11))</f>
        <v>#REF!</v>
      </c>
      <c r="X166" s="185">
        <f>0.00125*1*L166*($E$9+$F$9-2*5)*1000</f>
        <v>0</v>
      </c>
      <c r="Y166" s="185" t="e">
        <f>J166*(($E$10+$F$10-2*$G$10)/($E$11+$F$11-2*$G$11))</f>
        <v>#REF!</v>
      </c>
      <c r="Z166" s="251">
        <f>0.00125*1*L166*($E$10+$F$10-2*5)*1000</f>
        <v>0</v>
      </c>
      <c r="AA166" s="252"/>
    </row>
    <row r="167" spans="1:27" s="238" customFormat="1" ht="15.75" hidden="1" x14ac:dyDescent="0.2">
      <c r="A167" s="177">
        <v>219</v>
      </c>
      <c r="B167" s="177" t="s">
        <v>136</v>
      </c>
      <c r="C167" s="177"/>
      <c r="D167" s="177"/>
      <c r="E167" s="177">
        <v>41</v>
      </c>
      <c r="F167" s="177">
        <v>27</v>
      </c>
      <c r="G167" s="177">
        <f>SUM(E167:F167)</f>
        <v>68</v>
      </c>
      <c r="H167" s="177">
        <v>1.2</v>
      </c>
      <c r="I167" s="177">
        <v>1</v>
      </c>
      <c r="J167" s="177">
        <f t="shared" ref="J167:J174" si="107">H167*C167*G167*I167</f>
        <v>0</v>
      </c>
      <c r="K167" s="177">
        <v>32.36</v>
      </c>
      <c r="L167" s="177">
        <f t="shared" ref="L167:L174" si="108">(C167+D167)*K167*0.001</f>
        <v>0</v>
      </c>
      <c r="M167" s="177" t="e">
        <f>J167*(($E$4+$F$4-2*$G$4)/($E$11+$F$11-2*$G$11))</f>
        <v>#REF!</v>
      </c>
      <c r="N167" s="250">
        <f>0.00125*1*L167*($E$4+$F$4-2*5)*1000</f>
        <v>0</v>
      </c>
      <c r="O167" s="185" t="e">
        <f>J167*(($E$5+$F$5-2*$G$5)/($E$11+$F$11-2*$G$11))</f>
        <v>#REF!</v>
      </c>
      <c r="P167" s="185">
        <f>0.00125*1*L167*($E$5+$F$5-2*5)*1000</f>
        <v>0</v>
      </c>
      <c r="Q167" s="185" t="e">
        <f>J167*(($E$6+$F$6-2*$G$6)/($E$11+$F$11-2*$G$11))</f>
        <v>#REF!</v>
      </c>
      <c r="R167" s="185">
        <f>0.00125*1*L167*($E$6+$F$6-2*5)*1000</f>
        <v>0</v>
      </c>
      <c r="S167" s="185" t="e">
        <f>J167*(($E$7+$F$7-2*$G$7)/($E$11+$F$11-2*$G$11))</f>
        <v>#REF!</v>
      </c>
      <c r="T167" s="185">
        <f>0.00125*1*L167*($E$7+$F$7-2*5)*1000</f>
        <v>0</v>
      </c>
      <c r="U167" s="185" t="e">
        <f>J167*(($E$8+$F$8-2*$G$8)/($E$11+$F$11-2*$G$11))</f>
        <v>#REF!</v>
      </c>
      <c r="V167" s="185">
        <f>0.00125*1*L167*($E$8+$F$8-2*5)*1000</f>
        <v>0</v>
      </c>
      <c r="W167" s="185" t="e">
        <f>J167*(($E$9+$F$9-2*$G$9)/($E$11+$F$11-2*$G$11))</f>
        <v>#REF!</v>
      </c>
      <c r="X167" s="185">
        <f>0.00125*1*L167*($E$9+$F$9-2*5)*1000</f>
        <v>0</v>
      </c>
      <c r="Y167" s="185" t="e">
        <f>J167*(($E$10+$F$10-2*$G$10)/($E$11+$F$11-2*$G$11))</f>
        <v>#REF!</v>
      </c>
      <c r="Z167" s="251">
        <f>0.00125*1*L167*($E$10+$F$10-2*5)*1000</f>
        <v>0</v>
      </c>
      <c r="AA167" s="252"/>
    </row>
    <row r="168" spans="1:27" s="238" customFormat="1" ht="15.75" hidden="1" x14ac:dyDescent="0.2">
      <c r="A168" s="177">
        <v>159</v>
      </c>
      <c r="B168" s="177" t="s">
        <v>136</v>
      </c>
      <c r="C168" s="177"/>
      <c r="D168" s="177"/>
      <c r="E168" s="177">
        <v>94</v>
      </c>
      <c r="F168" s="177">
        <v>107</v>
      </c>
      <c r="G168" s="177" t="e">
        <f>E168+((F168-E168)/(65-52.5))*((($E$11+$F$11)/2-$G$11)-52.5)</f>
        <v>#REF!</v>
      </c>
      <c r="H168" s="177">
        <v>1.2</v>
      </c>
      <c r="I168" s="177">
        <v>1</v>
      </c>
      <c r="J168" s="177" t="e">
        <f t="shared" si="107"/>
        <v>#REF!</v>
      </c>
      <c r="K168" s="177">
        <v>17.670000000000002</v>
      </c>
      <c r="L168" s="177">
        <f t="shared" si="108"/>
        <v>0</v>
      </c>
      <c r="M168" s="177" t="e">
        <f>J168*(($E$4+$F$4-2*$G$4)/($E$11+$F$11-2*$G$11))</f>
        <v>#REF!</v>
      </c>
      <c r="N168" s="250">
        <f>0.00125*1*L168*($E$4+$F$4-2*5)*1000</f>
        <v>0</v>
      </c>
      <c r="O168" s="185" t="e">
        <f>J168*(($E$5+$F$5-2*$G$5)/($E$11+$F$11-2*$G$11))</f>
        <v>#REF!</v>
      </c>
      <c r="P168" s="185">
        <f>0.00125*1*L168*($E$5+$F$5-2*5)*1000</f>
        <v>0</v>
      </c>
      <c r="Q168" s="185" t="e">
        <f>J168*(($E$6+$F$6-2*$G$6)/($E$11+$F$11-2*$G$11))</f>
        <v>#REF!</v>
      </c>
      <c r="R168" s="185">
        <f>0.00125*1*L168*($E$6+$F$6-2*5)*1000</f>
        <v>0</v>
      </c>
      <c r="S168" s="185" t="e">
        <f>J168*(($E$7+$F$7-2*$G$7)/($E$11+$F$11-2*$G$11))</f>
        <v>#REF!</v>
      </c>
      <c r="T168" s="185">
        <f>0.00125*1*L168*($E$7+$F$7-2*5)*1000</f>
        <v>0</v>
      </c>
      <c r="U168" s="185" t="e">
        <f>J168*(($E$8+$F$8-2*$G$8)/($E$11+$F$11-2*$G$11))</f>
        <v>#REF!</v>
      </c>
      <c r="V168" s="185">
        <f>0.00125*1*L168*($E$8+$F$8-2*5)*1000</f>
        <v>0</v>
      </c>
      <c r="W168" s="185" t="e">
        <f>J168*(($E$9+$F$9-2*$G$9)/($E$11+$F$11-2*$G$11))</f>
        <v>#REF!</v>
      </c>
      <c r="X168" s="185">
        <f>0.00125*1*L168*($E$9+$F$9-2*5)*1000</f>
        <v>0</v>
      </c>
      <c r="Y168" s="185" t="e">
        <f>J168*(($E$10+$F$10-2*$G$10)/($E$11+$F$11-2*$G$11))</f>
        <v>#REF!</v>
      </c>
      <c r="Z168" s="251">
        <f>0.00125*1*L168*($E$10+$F$10-2*5)*1000</f>
        <v>0</v>
      </c>
      <c r="AA168" s="252"/>
    </row>
    <row r="169" spans="1:27" s="238" customFormat="1" ht="15.75" hidden="1" x14ac:dyDescent="0.2">
      <c r="A169" s="177">
        <v>159</v>
      </c>
      <c r="B169" s="177" t="s">
        <v>136</v>
      </c>
      <c r="C169" s="177"/>
      <c r="D169" s="177"/>
      <c r="E169" s="177">
        <v>33</v>
      </c>
      <c r="F169" s="177">
        <v>22</v>
      </c>
      <c r="G169" s="177">
        <f>SUM(E169:F169)</f>
        <v>55</v>
      </c>
      <c r="H169" s="177">
        <v>1.2</v>
      </c>
      <c r="I169" s="177">
        <v>1</v>
      </c>
      <c r="J169" s="177">
        <f t="shared" si="107"/>
        <v>0</v>
      </c>
      <c r="K169" s="177">
        <v>17.670000000000002</v>
      </c>
      <c r="L169" s="177">
        <f t="shared" si="108"/>
        <v>0</v>
      </c>
      <c r="M169" s="177" t="e">
        <f t="shared" ref="M169:M174" si="109">J169*(($E$4+$F$4-2*$G$4)/($E$11+$F$11-2*$G$11))</f>
        <v>#REF!</v>
      </c>
      <c r="N169" s="250">
        <f t="shared" ref="N169:N174" si="110">0.00125*1*L169*($E$4+$F$4-2*5)*1000</f>
        <v>0</v>
      </c>
      <c r="O169" s="185" t="e">
        <f t="shared" ref="O169:O174" si="111">J169*(($E$5+$F$5-2*$G$5)/($E$11+$F$11-2*$G$11))</f>
        <v>#REF!</v>
      </c>
      <c r="P169" s="185">
        <f t="shared" ref="P169:P174" si="112">0.00125*1*L169*($E$5+$F$5-2*5)*1000</f>
        <v>0</v>
      </c>
      <c r="Q169" s="185" t="e">
        <f t="shared" ref="Q169:Q174" si="113">J169*(($E$6+$F$6-2*$G$6)/($E$11+$F$11-2*$G$11))</f>
        <v>#REF!</v>
      </c>
      <c r="R169" s="185">
        <f t="shared" ref="R169:R174" si="114">0.00125*1*L169*($E$6+$F$6-2*5)*1000</f>
        <v>0</v>
      </c>
      <c r="S169" s="185" t="e">
        <f t="shared" ref="S169:S174" si="115">J169*(($E$7+$F$7-2*$G$7)/($E$11+$F$11-2*$G$11))</f>
        <v>#REF!</v>
      </c>
      <c r="T169" s="185">
        <f t="shared" ref="T169:T174" si="116">0.00125*1*L169*($E$7+$F$7-2*5)*1000</f>
        <v>0</v>
      </c>
      <c r="U169" s="185" t="e">
        <f t="shared" ref="U169:U174" si="117">J169*(($E$8+$F$8-2*$G$8)/($E$11+$F$11-2*$G$11))</f>
        <v>#REF!</v>
      </c>
      <c r="V169" s="185">
        <f t="shared" ref="V169:V174" si="118">0.00125*1*L169*($E$8+$F$8-2*5)*1000</f>
        <v>0</v>
      </c>
      <c r="W169" s="185" t="e">
        <f t="shared" ref="W169:W174" si="119">J169*(($E$9+$F$9-2*$G$9)/($E$11+$F$11-2*$G$11))</f>
        <v>#REF!</v>
      </c>
      <c r="X169" s="185">
        <f t="shared" ref="X169:X174" si="120">0.00125*1*L169*($E$9+$F$9-2*5)*1000</f>
        <v>0</v>
      </c>
      <c r="Y169" s="185" t="e">
        <f t="shared" ref="Y169:Y174" si="121">J169*(($E$10+$F$10-2*$G$10)/($E$11+$F$11-2*$G$11))</f>
        <v>#REF!</v>
      </c>
      <c r="Z169" s="251">
        <f t="shared" ref="Z169:Z174" si="122">0.00125*1*L169*($E$10+$F$10-2*5)*1000</f>
        <v>0</v>
      </c>
      <c r="AA169" s="252"/>
    </row>
    <row r="170" spans="1:27" s="238" customFormat="1" ht="15.75" hidden="1" x14ac:dyDescent="0.2">
      <c r="A170" s="177">
        <v>108</v>
      </c>
      <c r="B170" s="177" t="s">
        <v>136</v>
      </c>
      <c r="C170" s="177"/>
      <c r="D170" s="177"/>
      <c r="E170" s="177">
        <v>76</v>
      </c>
      <c r="F170" s="177">
        <v>88</v>
      </c>
      <c r="G170" s="177" t="e">
        <f>E170+((F170-E170)/(65-52.5))*((($E$11+$F$11)/2-$G$11)-52.5)</f>
        <v>#REF!</v>
      </c>
      <c r="H170" s="177">
        <v>1.2</v>
      </c>
      <c r="I170" s="177">
        <v>1</v>
      </c>
      <c r="J170" s="177" t="e">
        <f t="shared" si="107"/>
        <v>#REF!</v>
      </c>
      <c r="K170" s="177">
        <v>7.8540000000000001</v>
      </c>
      <c r="L170" s="177">
        <f t="shared" si="108"/>
        <v>0</v>
      </c>
      <c r="M170" s="177" t="e">
        <f t="shared" si="109"/>
        <v>#REF!</v>
      </c>
      <c r="N170" s="250">
        <f t="shared" si="110"/>
        <v>0</v>
      </c>
      <c r="O170" s="185" t="e">
        <f t="shared" si="111"/>
        <v>#REF!</v>
      </c>
      <c r="P170" s="185">
        <f t="shared" si="112"/>
        <v>0</v>
      </c>
      <c r="Q170" s="185" t="e">
        <f t="shared" si="113"/>
        <v>#REF!</v>
      </c>
      <c r="R170" s="185">
        <f t="shared" si="114"/>
        <v>0</v>
      </c>
      <c r="S170" s="185" t="e">
        <f t="shared" si="115"/>
        <v>#REF!</v>
      </c>
      <c r="T170" s="185">
        <f t="shared" si="116"/>
        <v>0</v>
      </c>
      <c r="U170" s="185" t="e">
        <f t="shared" si="117"/>
        <v>#REF!</v>
      </c>
      <c r="V170" s="185">
        <f t="shared" si="118"/>
        <v>0</v>
      </c>
      <c r="W170" s="185" t="e">
        <f t="shared" si="119"/>
        <v>#REF!</v>
      </c>
      <c r="X170" s="185">
        <f t="shared" si="120"/>
        <v>0</v>
      </c>
      <c r="Y170" s="185" t="e">
        <f t="shared" si="121"/>
        <v>#REF!</v>
      </c>
      <c r="Z170" s="251">
        <f t="shared" si="122"/>
        <v>0</v>
      </c>
      <c r="AA170" s="252"/>
    </row>
    <row r="171" spans="1:27" s="238" customFormat="1" ht="15.75" hidden="1" x14ac:dyDescent="0.2">
      <c r="A171" s="177">
        <v>108</v>
      </c>
      <c r="B171" s="177" t="s">
        <v>136</v>
      </c>
      <c r="C171" s="177"/>
      <c r="D171" s="177"/>
      <c r="E171" s="177">
        <v>28</v>
      </c>
      <c r="F171" s="177">
        <v>19</v>
      </c>
      <c r="G171" s="177">
        <f>SUM(E171:F171)</f>
        <v>47</v>
      </c>
      <c r="H171" s="177">
        <v>1.2</v>
      </c>
      <c r="I171" s="177">
        <v>1</v>
      </c>
      <c r="J171" s="177">
        <f t="shared" si="107"/>
        <v>0</v>
      </c>
      <c r="K171" s="177">
        <v>7.8540000000000001</v>
      </c>
      <c r="L171" s="177">
        <f t="shared" si="108"/>
        <v>0</v>
      </c>
      <c r="M171" s="177" t="e">
        <f t="shared" si="109"/>
        <v>#REF!</v>
      </c>
      <c r="N171" s="250">
        <f t="shared" si="110"/>
        <v>0</v>
      </c>
      <c r="O171" s="185" t="e">
        <f t="shared" si="111"/>
        <v>#REF!</v>
      </c>
      <c r="P171" s="185">
        <f t="shared" si="112"/>
        <v>0</v>
      </c>
      <c r="Q171" s="185" t="e">
        <f t="shared" si="113"/>
        <v>#REF!</v>
      </c>
      <c r="R171" s="185">
        <f t="shared" si="114"/>
        <v>0</v>
      </c>
      <c r="S171" s="185" t="e">
        <f t="shared" si="115"/>
        <v>#REF!</v>
      </c>
      <c r="T171" s="185">
        <f t="shared" si="116"/>
        <v>0</v>
      </c>
      <c r="U171" s="185" t="e">
        <f t="shared" si="117"/>
        <v>#REF!</v>
      </c>
      <c r="V171" s="185">
        <f t="shared" si="118"/>
        <v>0</v>
      </c>
      <c r="W171" s="185" t="e">
        <f t="shared" si="119"/>
        <v>#REF!</v>
      </c>
      <c r="X171" s="185">
        <f t="shared" si="120"/>
        <v>0</v>
      </c>
      <c r="Y171" s="185" t="e">
        <f t="shared" si="121"/>
        <v>#REF!</v>
      </c>
      <c r="Z171" s="251">
        <f t="shared" si="122"/>
        <v>0</v>
      </c>
      <c r="AA171" s="252"/>
    </row>
    <row r="172" spans="1:27" s="238" customFormat="1" ht="15.75" hidden="1" x14ac:dyDescent="0.2">
      <c r="A172" s="177">
        <v>89</v>
      </c>
      <c r="B172" s="177" t="s">
        <v>136</v>
      </c>
      <c r="C172" s="177"/>
      <c r="D172" s="177"/>
      <c r="E172" s="177">
        <v>69</v>
      </c>
      <c r="F172" s="177">
        <v>80</v>
      </c>
      <c r="G172" s="177" t="e">
        <f>E172+((F172-E172)/(65-52.5))*((($E$11+$F$11)/2-$G$11)-52.5)</f>
        <v>#REF!</v>
      </c>
      <c r="H172" s="177">
        <v>1.2</v>
      </c>
      <c r="I172" s="177">
        <v>1</v>
      </c>
      <c r="J172" s="177" t="e">
        <f t="shared" si="107"/>
        <v>#REF!</v>
      </c>
      <c r="K172" s="177">
        <v>5.1529999999999996</v>
      </c>
      <c r="L172" s="177">
        <f t="shared" si="108"/>
        <v>0</v>
      </c>
      <c r="M172" s="177" t="e">
        <f t="shared" si="109"/>
        <v>#REF!</v>
      </c>
      <c r="N172" s="250">
        <f t="shared" si="110"/>
        <v>0</v>
      </c>
      <c r="O172" s="185" t="e">
        <f t="shared" si="111"/>
        <v>#REF!</v>
      </c>
      <c r="P172" s="185">
        <f t="shared" si="112"/>
        <v>0</v>
      </c>
      <c r="Q172" s="185" t="e">
        <f t="shared" si="113"/>
        <v>#REF!</v>
      </c>
      <c r="R172" s="185">
        <f t="shared" si="114"/>
        <v>0</v>
      </c>
      <c r="S172" s="185" t="e">
        <f t="shared" si="115"/>
        <v>#REF!</v>
      </c>
      <c r="T172" s="185">
        <f t="shared" si="116"/>
        <v>0</v>
      </c>
      <c r="U172" s="185" t="e">
        <f t="shared" si="117"/>
        <v>#REF!</v>
      </c>
      <c r="V172" s="185">
        <f t="shared" si="118"/>
        <v>0</v>
      </c>
      <c r="W172" s="185" t="e">
        <f t="shared" si="119"/>
        <v>#REF!</v>
      </c>
      <c r="X172" s="185">
        <f t="shared" si="120"/>
        <v>0</v>
      </c>
      <c r="Y172" s="185" t="e">
        <f t="shared" si="121"/>
        <v>#REF!</v>
      </c>
      <c r="Z172" s="251">
        <f t="shared" si="122"/>
        <v>0</v>
      </c>
      <c r="AA172" s="252"/>
    </row>
    <row r="173" spans="1:27" s="238" customFormat="1" ht="15.75" hidden="1" x14ac:dyDescent="0.2">
      <c r="A173" s="177">
        <v>89</v>
      </c>
      <c r="B173" s="177" t="s">
        <v>136</v>
      </c>
      <c r="C173" s="253"/>
      <c r="D173" s="253"/>
      <c r="E173" s="253">
        <v>25</v>
      </c>
      <c r="F173" s="253">
        <v>17</v>
      </c>
      <c r="G173" s="253">
        <f>SUM(E173:F173)</f>
        <v>42</v>
      </c>
      <c r="H173" s="177">
        <v>1.2</v>
      </c>
      <c r="I173" s="177">
        <v>1</v>
      </c>
      <c r="J173" s="177">
        <f t="shared" si="107"/>
        <v>0</v>
      </c>
      <c r="K173" s="177">
        <v>5.1529999999999996</v>
      </c>
      <c r="L173" s="177">
        <f t="shared" si="108"/>
        <v>0</v>
      </c>
      <c r="M173" s="177" t="e">
        <f t="shared" si="109"/>
        <v>#REF!</v>
      </c>
      <c r="N173" s="250">
        <f t="shared" si="110"/>
        <v>0</v>
      </c>
      <c r="O173" s="185" t="e">
        <f t="shared" si="111"/>
        <v>#REF!</v>
      </c>
      <c r="P173" s="185">
        <f t="shared" si="112"/>
        <v>0</v>
      </c>
      <c r="Q173" s="185" t="e">
        <f t="shared" si="113"/>
        <v>#REF!</v>
      </c>
      <c r="R173" s="185">
        <f t="shared" si="114"/>
        <v>0</v>
      </c>
      <c r="S173" s="185" t="e">
        <f t="shared" si="115"/>
        <v>#REF!</v>
      </c>
      <c r="T173" s="185">
        <f t="shared" si="116"/>
        <v>0</v>
      </c>
      <c r="U173" s="185" t="e">
        <f t="shared" si="117"/>
        <v>#REF!</v>
      </c>
      <c r="V173" s="185">
        <f t="shared" si="118"/>
        <v>0</v>
      </c>
      <c r="W173" s="185" t="e">
        <f t="shared" si="119"/>
        <v>#REF!</v>
      </c>
      <c r="X173" s="185">
        <f t="shared" si="120"/>
        <v>0</v>
      </c>
      <c r="Y173" s="185" t="e">
        <f t="shared" si="121"/>
        <v>#REF!</v>
      </c>
      <c r="Z173" s="251">
        <f t="shared" si="122"/>
        <v>0</v>
      </c>
      <c r="AA173" s="254"/>
    </row>
    <row r="174" spans="1:27" s="238" customFormat="1" ht="16.5" hidden="1" thickBot="1" x14ac:dyDescent="0.25">
      <c r="A174" s="253">
        <v>57</v>
      </c>
      <c r="B174" s="177" t="s">
        <v>136</v>
      </c>
      <c r="C174" s="253"/>
      <c r="D174" s="253"/>
      <c r="E174" s="253">
        <v>56</v>
      </c>
      <c r="F174" s="253">
        <v>65</v>
      </c>
      <c r="G174" s="177" t="e">
        <f>E174+((F174-E174)/(65-52.5))*((($E$11+$F$11)/2-$G$11)-52.5)</f>
        <v>#REF!</v>
      </c>
      <c r="H174" s="177">
        <v>1.2</v>
      </c>
      <c r="I174" s="177">
        <v>1</v>
      </c>
      <c r="J174" s="177" t="e">
        <f t="shared" si="107"/>
        <v>#REF!</v>
      </c>
      <c r="K174" s="253">
        <v>1.9630000000000001</v>
      </c>
      <c r="L174" s="177">
        <f t="shared" si="108"/>
        <v>0</v>
      </c>
      <c r="M174" s="177" t="e">
        <f t="shared" si="109"/>
        <v>#REF!</v>
      </c>
      <c r="N174" s="250">
        <f t="shared" si="110"/>
        <v>0</v>
      </c>
      <c r="O174" s="185" t="e">
        <f t="shared" si="111"/>
        <v>#REF!</v>
      </c>
      <c r="P174" s="185">
        <f t="shared" si="112"/>
        <v>0</v>
      </c>
      <c r="Q174" s="185" t="e">
        <f t="shared" si="113"/>
        <v>#REF!</v>
      </c>
      <c r="R174" s="185">
        <f t="shared" si="114"/>
        <v>0</v>
      </c>
      <c r="S174" s="185" t="e">
        <f t="shared" si="115"/>
        <v>#REF!</v>
      </c>
      <c r="T174" s="185">
        <f t="shared" si="116"/>
        <v>0</v>
      </c>
      <c r="U174" s="185" t="e">
        <f t="shared" si="117"/>
        <v>#REF!</v>
      </c>
      <c r="V174" s="185">
        <f t="shared" si="118"/>
        <v>0</v>
      </c>
      <c r="W174" s="185" t="e">
        <f t="shared" si="119"/>
        <v>#REF!</v>
      </c>
      <c r="X174" s="185">
        <f t="shared" si="120"/>
        <v>0</v>
      </c>
      <c r="Y174" s="185" t="e">
        <f t="shared" si="121"/>
        <v>#REF!</v>
      </c>
      <c r="Z174" s="251">
        <f t="shared" si="122"/>
        <v>0</v>
      </c>
      <c r="AA174" s="254"/>
    </row>
    <row r="175" spans="1:27" s="238" customFormat="1" ht="15.75" hidden="1" x14ac:dyDescent="0.2">
      <c r="A175" s="256" t="s">
        <v>139</v>
      </c>
      <c r="B175" s="258"/>
      <c r="C175" s="257">
        <f>SUM(C166:C174)</f>
        <v>0</v>
      </c>
      <c r="D175" s="257">
        <f>SUM(D166:D174)</f>
        <v>0</v>
      </c>
      <c r="E175" s="258"/>
      <c r="F175" s="258"/>
      <c r="G175" s="258"/>
      <c r="H175" s="258"/>
      <c r="I175" s="258"/>
      <c r="J175" s="258"/>
      <c r="K175" s="258"/>
      <c r="L175" s="258"/>
      <c r="M175" s="258" t="e">
        <f t="shared" ref="M175:Z175" si="123">SUM(M166:M174)</f>
        <v>#REF!</v>
      </c>
      <c r="N175" s="259">
        <f t="shared" si="123"/>
        <v>0</v>
      </c>
      <c r="O175" s="260" t="e">
        <f t="shared" si="123"/>
        <v>#REF!</v>
      </c>
      <c r="P175" s="260">
        <f t="shared" si="123"/>
        <v>0</v>
      </c>
      <c r="Q175" s="260" t="e">
        <f t="shared" si="123"/>
        <v>#REF!</v>
      </c>
      <c r="R175" s="260">
        <f t="shared" si="123"/>
        <v>0</v>
      </c>
      <c r="S175" s="260" t="e">
        <f t="shared" si="123"/>
        <v>#REF!</v>
      </c>
      <c r="T175" s="260">
        <f t="shared" si="123"/>
        <v>0</v>
      </c>
      <c r="U175" s="260" t="e">
        <f t="shared" si="123"/>
        <v>#REF!</v>
      </c>
      <c r="V175" s="260">
        <f t="shared" si="123"/>
        <v>0</v>
      </c>
      <c r="W175" s="260" t="e">
        <f t="shared" si="123"/>
        <v>#REF!</v>
      </c>
      <c r="X175" s="260">
        <f t="shared" si="123"/>
        <v>0</v>
      </c>
      <c r="Y175" s="260" t="e">
        <f t="shared" si="123"/>
        <v>#REF!</v>
      </c>
      <c r="Z175" s="261">
        <f t="shared" si="123"/>
        <v>0</v>
      </c>
      <c r="AA175" s="249"/>
    </row>
    <row r="176" spans="1:27" s="238" customFormat="1" ht="16.5" hidden="1" thickBot="1" x14ac:dyDescent="0.3">
      <c r="A176" s="277"/>
      <c r="B176" s="265" t="s">
        <v>140</v>
      </c>
      <c r="C176" s="265">
        <v>0</v>
      </c>
      <c r="D176" s="265">
        <v>0</v>
      </c>
      <c r="E176" s="266"/>
      <c r="F176" s="266"/>
      <c r="G176" s="266"/>
      <c r="H176" s="266"/>
      <c r="I176" s="266"/>
      <c r="J176" s="266"/>
      <c r="K176" s="266"/>
      <c r="L176" s="266"/>
      <c r="M176" s="266"/>
      <c r="N176" s="267" t="e">
        <f>ROUND(((M175+N175)*31*24*0.000001),2)</f>
        <v>#REF!</v>
      </c>
      <c r="O176" s="281"/>
      <c r="P176" s="281" t="e">
        <f>ROUND(((O175+P175)*28*24*0.000001),2)</f>
        <v>#REF!</v>
      </c>
      <c r="Q176" s="281"/>
      <c r="R176" s="281" t="e">
        <f>ROUND(((Q175+R175)*31*24*0.000001),2)</f>
        <v>#REF!</v>
      </c>
      <c r="S176" s="281"/>
      <c r="T176" s="281" t="e">
        <f>ROUND(((S175+T175)*14*24*0.000001),2)</f>
        <v>#REF!</v>
      </c>
      <c r="U176" s="281"/>
      <c r="V176" s="281" t="e">
        <f>ROUND(((U175+V175)*21*24*0.000001),2)</f>
        <v>#REF!</v>
      </c>
      <c r="W176" s="281"/>
      <c r="X176" s="281" t="e">
        <f>ROUND(((W175+X175)*30*24*0.000001),2)</f>
        <v>#REF!</v>
      </c>
      <c r="Y176" s="281"/>
      <c r="Z176" s="282" t="e">
        <f>ROUND(((Y175+Z175)*31*24*0.000001),2)</f>
        <v>#REF!</v>
      </c>
      <c r="AA176" s="268" t="e">
        <f>N176+P176+R176+T176+V176+X176+Z176</f>
        <v>#REF!</v>
      </c>
    </row>
    <row r="177" spans="1:27" s="238" customFormat="1" ht="15.75" x14ac:dyDescent="0.2">
      <c r="A177" s="283" t="s">
        <v>31</v>
      </c>
      <c r="B177" s="284"/>
      <c r="C177" s="284"/>
      <c r="D177" s="284"/>
      <c r="E177" s="284"/>
      <c r="F177" s="284"/>
      <c r="G177" s="271"/>
      <c r="H177" s="284"/>
      <c r="I177" s="284"/>
      <c r="J177" s="271"/>
      <c r="K177" s="284"/>
      <c r="L177" s="271"/>
      <c r="M177" s="271"/>
      <c r="N177" s="272"/>
      <c r="O177" s="273"/>
      <c r="P177" s="273"/>
      <c r="Q177" s="273"/>
      <c r="R177" s="273"/>
      <c r="S177" s="273"/>
      <c r="T177" s="273"/>
      <c r="U177" s="273"/>
      <c r="V177" s="273"/>
      <c r="W177" s="273"/>
      <c r="X177" s="273"/>
      <c r="Y177" s="273"/>
      <c r="Z177" s="274"/>
      <c r="AA177" s="275" t="s">
        <v>161</v>
      </c>
    </row>
    <row r="178" spans="1:27" s="238" customFormat="1" ht="15.75" x14ac:dyDescent="0.2">
      <c r="A178" s="177">
        <v>219</v>
      </c>
      <c r="B178" s="177" t="s">
        <v>136</v>
      </c>
      <c r="C178" s="177">
        <v>81.400000000000006</v>
      </c>
      <c r="D178" s="177">
        <v>81.400000000000006</v>
      </c>
      <c r="E178" s="177">
        <v>113</v>
      </c>
      <c r="F178" s="177">
        <v>130</v>
      </c>
      <c r="G178" s="177" t="e">
        <f>E178+((F178-E178)/(65-52.5))*((($E$11+$F$11)/2-$G$11)-52.5)</f>
        <v>#REF!</v>
      </c>
      <c r="H178" s="177">
        <v>1.2</v>
      </c>
      <c r="I178" s="177">
        <v>1</v>
      </c>
      <c r="J178" s="177" t="e">
        <f>H178*C178*G178*I178</f>
        <v>#REF!</v>
      </c>
      <c r="K178" s="177">
        <v>32.36</v>
      </c>
      <c r="L178" s="177">
        <f>(C178+D178)*K178*0.001</f>
        <v>5.2682080000000004</v>
      </c>
      <c r="M178" s="177" t="e">
        <f>J178*(($E$4+$F$4-2*$G$4)/($E$11+$F$11-2*$G$11))</f>
        <v>#REF!</v>
      </c>
      <c r="N178" s="250">
        <f>0.00125*1*L178*($E$4+$F$4-2*5)*1000</f>
        <v>665.11126000000013</v>
      </c>
      <c r="O178" s="185" t="e">
        <f>J178*(($E$5+$F$5-2*$G$5)/($E$11+$F$11-2*$G$11))</f>
        <v>#REF!</v>
      </c>
      <c r="P178" s="185">
        <f>0.00125*1*L178*($E$5+$F$5-2*5)*1000</f>
        <v>612.42917999999997</v>
      </c>
      <c r="Q178" s="185" t="e">
        <f>J178*(($E$6+$F$6-2*$G$6)/($E$11+$F$11-2*$G$11))</f>
        <v>#REF!</v>
      </c>
      <c r="R178" s="185">
        <f>0.00125*1*L178*($E$6+$F$6-2*5)*1000</f>
        <v>526.82080000000008</v>
      </c>
      <c r="S178" s="185" t="e">
        <f>J178*(($E$7+$F$7-2*$G$7)/($E$11+$F$11-2*$G$11))</f>
        <v>#REF!</v>
      </c>
      <c r="T178" s="185">
        <f>0.00125*1*L178*($E$7+$F$7-2*5)*1000</f>
        <v>447.79768000000001</v>
      </c>
      <c r="U178" s="185" t="e">
        <f>J178*(($E$8+$F$8-2*$G$8)/($E$11+$F$11-2*$G$11))</f>
        <v>#REF!</v>
      </c>
      <c r="V178" s="185">
        <f>0.00125*1*L178*($E$8+$F$8-2*5)*1000</f>
        <v>507.06502000000006</v>
      </c>
      <c r="W178" s="185" t="e">
        <f>J178*(($E$9+$F$9-2*$G$9)/($E$11+$F$11-2*$G$11))</f>
        <v>#REF!</v>
      </c>
      <c r="X178" s="185">
        <f>0.00125*1*L178*($E$9+$F$9-2*5)*1000</f>
        <v>533.40606000000002</v>
      </c>
      <c r="Y178" s="185" t="e">
        <f>J178*(($E$10+$F$10-2*$G$10)/($E$11+$F$11-2*$G$11))</f>
        <v>#REF!</v>
      </c>
      <c r="Z178" s="251">
        <f>0.00125*1*L178*($E$10+$F$10-2*5)*1000</f>
        <v>605.84392000000014</v>
      </c>
      <c r="AA178" s="252"/>
    </row>
    <row r="179" spans="1:27" s="238" customFormat="1" ht="15.75" x14ac:dyDescent="0.2">
      <c r="A179" s="177">
        <v>219</v>
      </c>
      <c r="B179" s="177" t="s">
        <v>136</v>
      </c>
      <c r="C179" s="177">
        <v>70</v>
      </c>
      <c r="D179" s="177">
        <v>70</v>
      </c>
      <c r="E179" s="177">
        <v>41</v>
      </c>
      <c r="F179" s="177">
        <v>27</v>
      </c>
      <c r="G179" s="177">
        <f>SUM(E179:F179)</f>
        <v>68</v>
      </c>
      <c r="H179" s="177">
        <v>1.2</v>
      </c>
      <c r="I179" s="177">
        <v>1</v>
      </c>
      <c r="J179" s="177">
        <f t="shared" ref="J179:J186" si="124">H179*C179*G179*I179</f>
        <v>5712</v>
      </c>
      <c r="K179" s="177">
        <v>32.36</v>
      </c>
      <c r="L179" s="177">
        <f t="shared" ref="L179:L186" si="125">(C179+D179)*K179*0.001</f>
        <v>4.5303999999999993</v>
      </c>
      <c r="M179" s="177" t="e">
        <f t="shared" ref="M179:M186" si="126">J179*(($E$4+$F$4-2*$G$4)/($E$11+$F$11-2*$G$11))</f>
        <v>#REF!</v>
      </c>
      <c r="N179" s="250">
        <f t="shared" ref="N179:N186" si="127">0.00125*1*L179*($E$4+$F$4-2*5)*1000</f>
        <v>571.96299999999997</v>
      </c>
      <c r="O179" s="185" t="e">
        <f t="shared" ref="O179:O186" si="128">J179*(($E$5+$F$5-2*$G$5)/($E$11+$F$11-2*$G$11))</f>
        <v>#REF!</v>
      </c>
      <c r="P179" s="185">
        <f t="shared" ref="P179:P186" si="129">0.00125*1*L179*($E$5+$F$5-2*5)*1000</f>
        <v>526.65899999999999</v>
      </c>
      <c r="Q179" s="185" t="e">
        <f t="shared" ref="Q179:Q186" si="130">J179*(($E$6+$F$6-2*$G$6)/($E$11+$F$11-2*$G$11))</f>
        <v>#REF!</v>
      </c>
      <c r="R179" s="185">
        <f t="shared" ref="R179:R186" si="131">0.00125*1*L179*($E$6+$F$6-2*5)*1000</f>
        <v>453.04</v>
      </c>
      <c r="S179" s="185" t="e">
        <f t="shared" ref="S179:S186" si="132">J179*(($E$7+$F$7-2*$G$7)/($E$11+$F$11-2*$G$11))</f>
        <v>#REF!</v>
      </c>
      <c r="T179" s="185">
        <f t="shared" ref="T179:T186" si="133">0.00125*1*L179*($E$7+$F$7-2*5)*1000</f>
        <v>385.084</v>
      </c>
      <c r="U179" s="185" t="e">
        <f t="shared" ref="U179:U186" si="134">J179*(($E$8+$F$8-2*$G$8)/($E$11+$F$11-2*$G$11))</f>
        <v>#REF!</v>
      </c>
      <c r="V179" s="185">
        <f t="shared" ref="V179:V186" si="135">0.00125*1*L179*($E$8+$F$8-2*5)*1000</f>
        <v>436.05099999999999</v>
      </c>
      <c r="W179" s="185" t="e">
        <f t="shared" ref="W179:W186" si="136">J179*(($E$9+$F$9-2*$G$9)/($E$11+$F$11-2*$G$11))</f>
        <v>#REF!</v>
      </c>
      <c r="X179" s="185">
        <f t="shared" ref="X179:X186" si="137">0.00125*1*L179*($E$9+$F$9-2*5)*1000</f>
        <v>458.70299999999997</v>
      </c>
      <c r="Y179" s="185" t="e">
        <f t="shared" ref="Y179:Y186" si="138">J179*(($E$10+$F$10-2*$G$10)/($E$11+$F$11-2*$G$11))</f>
        <v>#REF!</v>
      </c>
      <c r="Z179" s="251">
        <f t="shared" ref="Z179:Z186" si="139">0.00125*1*L179*($E$10+$F$10-2*5)*1000</f>
        <v>520.99599999999998</v>
      </c>
      <c r="AA179" s="252"/>
    </row>
    <row r="180" spans="1:27" s="238" customFormat="1" ht="15.75" x14ac:dyDescent="0.2">
      <c r="A180" s="177">
        <v>159</v>
      </c>
      <c r="B180" s="177" t="s">
        <v>136</v>
      </c>
      <c r="C180" s="177">
        <v>350.3</v>
      </c>
      <c r="D180" s="177">
        <v>350.3</v>
      </c>
      <c r="E180" s="177">
        <v>94</v>
      </c>
      <c r="F180" s="177">
        <v>107</v>
      </c>
      <c r="G180" s="177" t="e">
        <f>E180+((F180-E180)/(65-52.5))*((($E$11+$F$11)/2-$G$11)-52.5)</f>
        <v>#REF!</v>
      </c>
      <c r="H180" s="177">
        <v>1.2</v>
      </c>
      <c r="I180" s="177">
        <v>1</v>
      </c>
      <c r="J180" s="177" t="e">
        <f t="shared" si="124"/>
        <v>#REF!</v>
      </c>
      <c r="K180" s="177">
        <v>17.670000000000002</v>
      </c>
      <c r="L180" s="177">
        <f t="shared" si="125"/>
        <v>12.379602</v>
      </c>
      <c r="M180" s="177" t="e">
        <f t="shared" si="126"/>
        <v>#REF!</v>
      </c>
      <c r="N180" s="250">
        <f t="shared" si="127"/>
        <v>1562.9247525000001</v>
      </c>
      <c r="O180" s="185" t="e">
        <f t="shared" si="128"/>
        <v>#REF!</v>
      </c>
      <c r="P180" s="185">
        <f t="shared" si="129"/>
        <v>1439.1287325000001</v>
      </c>
      <c r="Q180" s="185" t="e">
        <f t="shared" si="130"/>
        <v>#REF!</v>
      </c>
      <c r="R180" s="185">
        <f t="shared" si="131"/>
        <v>1237.9602</v>
      </c>
      <c r="S180" s="185" t="e">
        <f t="shared" si="132"/>
        <v>#REF!</v>
      </c>
      <c r="T180" s="185">
        <f t="shared" si="133"/>
        <v>1052.2661700000001</v>
      </c>
      <c r="U180" s="185" t="e">
        <f t="shared" si="134"/>
        <v>#REF!</v>
      </c>
      <c r="V180" s="185">
        <f t="shared" si="135"/>
        <v>1191.5366925000001</v>
      </c>
      <c r="W180" s="185" t="e">
        <f t="shared" si="136"/>
        <v>#REF!</v>
      </c>
      <c r="X180" s="185">
        <f t="shared" si="137"/>
        <v>1253.4347025000002</v>
      </c>
      <c r="Y180" s="185" t="e">
        <f t="shared" si="138"/>
        <v>#REF!</v>
      </c>
      <c r="Z180" s="251">
        <f t="shared" si="139"/>
        <v>1423.6542300000001</v>
      </c>
      <c r="AA180" s="252"/>
    </row>
    <row r="181" spans="1:27" s="238" customFormat="1" ht="15.75" x14ac:dyDescent="0.2">
      <c r="A181" s="177">
        <v>159</v>
      </c>
      <c r="B181" s="177" t="s">
        <v>136</v>
      </c>
      <c r="C181" s="177">
        <v>83.3</v>
      </c>
      <c r="D181" s="177">
        <v>83.3</v>
      </c>
      <c r="E181" s="177">
        <v>33</v>
      </c>
      <c r="F181" s="177">
        <v>22</v>
      </c>
      <c r="G181" s="177">
        <f>SUM(E181:F181)</f>
        <v>55</v>
      </c>
      <c r="H181" s="177">
        <v>1.2</v>
      </c>
      <c r="I181" s="177">
        <v>1</v>
      </c>
      <c r="J181" s="177">
        <f t="shared" si="124"/>
        <v>5497.7999999999993</v>
      </c>
      <c r="K181" s="177">
        <v>17.670000000000002</v>
      </c>
      <c r="L181" s="177">
        <f t="shared" si="125"/>
        <v>2.9438220000000004</v>
      </c>
      <c r="M181" s="177" t="e">
        <f t="shared" si="126"/>
        <v>#REF!</v>
      </c>
      <c r="N181" s="250">
        <f t="shared" si="127"/>
        <v>371.65752750000007</v>
      </c>
      <c r="O181" s="185" t="e">
        <f t="shared" si="128"/>
        <v>#REF!</v>
      </c>
      <c r="P181" s="185">
        <f t="shared" si="129"/>
        <v>342.21930750000007</v>
      </c>
      <c r="Q181" s="185" t="e">
        <f t="shared" si="130"/>
        <v>#REF!</v>
      </c>
      <c r="R181" s="185">
        <f t="shared" si="131"/>
        <v>294.38220000000001</v>
      </c>
      <c r="S181" s="185" t="e">
        <f t="shared" si="132"/>
        <v>#REF!</v>
      </c>
      <c r="T181" s="185">
        <f t="shared" si="133"/>
        <v>250.22487000000004</v>
      </c>
      <c r="U181" s="185" t="e">
        <f t="shared" si="134"/>
        <v>#REF!</v>
      </c>
      <c r="V181" s="185">
        <f t="shared" si="135"/>
        <v>283.34286750000001</v>
      </c>
      <c r="W181" s="185" t="e">
        <f t="shared" si="136"/>
        <v>#REF!</v>
      </c>
      <c r="X181" s="185">
        <f t="shared" si="137"/>
        <v>298.06197750000001</v>
      </c>
      <c r="Y181" s="185" t="e">
        <f t="shared" si="138"/>
        <v>#REF!</v>
      </c>
      <c r="Z181" s="251">
        <f t="shared" si="139"/>
        <v>338.53953000000001</v>
      </c>
      <c r="AA181" s="252"/>
    </row>
    <row r="182" spans="1:27" s="238" customFormat="1" ht="15.75" x14ac:dyDescent="0.2">
      <c r="A182" s="177">
        <v>108</v>
      </c>
      <c r="B182" s="177" t="s">
        <v>136</v>
      </c>
      <c r="C182" s="177">
        <v>476.7</v>
      </c>
      <c r="D182" s="177">
        <v>476.7</v>
      </c>
      <c r="E182" s="177">
        <v>76</v>
      </c>
      <c r="F182" s="177">
        <v>88</v>
      </c>
      <c r="G182" s="177" t="e">
        <f>E182+((F182-E182)/(65-52.5))*((($E$11+$F$11)/2-$G$11)-52.5)</f>
        <v>#REF!</v>
      </c>
      <c r="H182" s="177">
        <v>1.2</v>
      </c>
      <c r="I182" s="177">
        <v>1</v>
      </c>
      <c r="J182" s="177" t="e">
        <f t="shared" si="124"/>
        <v>#REF!</v>
      </c>
      <c r="K182" s="177">
        <v>7.8540000000000001</v>
      </c>
      <c r="L182" s="177">
        <f t="shared" si="125"/>
        <v>7.4880035999999999</v>
      </c>
      <c r="M182" s="177" t="e">
        <f t="shared" si="126"/>
        <v>#REF!</v>
      </c>
      <c r="N182" s="250">
        <f t="shared" si="127"/>
        <v>945.36045449999995</v>
      </c>
      <c r="O182" s="185" t="e">
        <f t="shared" si="128"/>
        <v>#REF!</v>
      </c>
      <c r="P182" s="185">
        <f t="shared" si="129"/>
        <v>870.48041850000004</v>
      </c>
      <c r="Q182" s="185" t="e">
        <f t="shared" si="130"/>
        <v>#REF!</v>
      </c>
      <c r="R182" s="185">
        <f t="shared" si="131"/>
        <v>748.80035999999996</v>
      </c>
      <c r="S182" s="185" t="e">
        <f t="shared" si="132"/>
        <v>#REF!</v>
      </c>
      <c r="T182" s="185">
        <f t="shared" si="133"/>
        <v>636.48030599999993</v>
      </c>
      <c r="U182" s="185" t="e">
        <f t="shared" si="134"/>
        <v>#REF!</v>
      </c>
      <c r="V182" s="185">
        <f t="shared" si="135"/>
        <v>720.72034649999989</v>
      </c>
      <c r="W182" s="185" t="e">
        <f t="shared" si="136"/>
        <v>#REF!</v>
      </c>
      <c r="X182" s="185">
        <f t="shared" si="137"/>
        <v>758.16036450000001</v>
      </c>
      <c r="Y182" s="185" t="e">
        <f t="shared" si="138"/>
        <v>#REF!</v>
      </c>
      <c r="Z182" s="251">
        <f t="shared" si="139"/>
        <v>861.12041399999998</v>
      </c>
      <c r="AA182" s="252"/>
    </row>
    <row r="183" spans="1:27" s="238" customFormat="1" ht="15.75" x14ac:dyDescent="0.2">
      <c r="A183" s="177">
        <v>108</v>
      </c>
      <c r="B183" s="177" t="s">
        <v>136</v>
      </c>
      <c r="C183" s="253">
        <v>109.5</v>
      </c>
      <c r="D183" s="253">
        <v>109.5</v>
      </c>
      <c r="E183" s="177">
        <v>28</v>
      </c>
      <c r="F183" s="177">
        <v>19</v>
      </c>
      <c r="G183" s="253">
        <f>SUM(E183:F183)</f>
        <v>47</v>
      </c>
      <c r="H183" s="177">
        <v>1.2</v>
      </c>
      <c r="I183" s="177">
        <v>1</v>
      </c>
      <c r="J183" s="177">
        <f t="shared" si="124"/>
        <v>6175.8</v>
      </c>
      <c r="K183" s="177">
        <v>7.8540000000000001</v>
      </c>
      <c r="L183" s="177">
        <f t="shared" si="125"/>
        <v>1.7200260000000001</v>
      </c>
      <c r="M183" s="177" t="e">
        <f t="shared" si="126"/>
        <v>#REF!</v>
      </c>
      <c r="N183" s="250">
        <f t="shared" si="127"/>
        <v>217.15328250000002</v>
      </c>
      <c r="O183" s="185" t="e">
        <f t="shared" si="128"/>
        <v>#REF!</v>
      </c>
      <c r="P183" s="185">
        <f t="shared" si="129"/>
        <v>199.95302250000003</v>
      </c>
      <c r="Q183" s="185" t="e">
        <f t="shared" si="130"/>
        <v>#REF!</v>
      </c>
      <c r="R183" s="185">
        <f t="shared" si="131"/>
        <v>172.0026</v>
      </c>
      <c r="S183" s="185" t="e">
        <f t="shared" si="132"/>
        <v>#REF!</v>
      </c>
      <c r="T183" s="185">
        <f t="shared" si="133"/>
        <v>146.20221000000004</v>
      </c>
      <c r="U183" s="185" t="e">
        <f t="shared" si="134"/>
        <v>#REF!</v>
      </c>
      <c r="V183" s="185">
        <f t="shared" si="135"/>
        <v>165.55250250000003</v>
      </c>
      <c r="W183" s="185" t="e">
        <f t="shared" si="136"/>
        <v>#REF!</v>
      </c>
      <c r="X183" s="185">
        <f t="shared" si="137"/>
        <v>174.15263250000001</v>
      </c>
      <c r="Y183" s="185" t="e">
        <f t="shared" si="138"/>
        <v>#REF!</v>
      </c>
      <c r="Z183" s="251">
        <f t="shared" si="139"/>
        <v>197.80299000000002</v>
      </c>
      <c r="AA183" s="254"/>
    </row>
    <row r="184" spans="1:27" s="238" customFormat="1" ht="15.75" x14ac:dyDescent="0.2">
      <c r="A184" s="253">
        <v>89</v>
      </c>
      <c r="B184" s="177" t="s">
        <v>136</v>
      </c>
      <c r="C184" s="177">
        <v>16</v>
      </c>
      <c r="D184" s="177">
        <v>16</v>
      </c>
      <c r="E184" s="177">
        <v>25</v>
      </c>
      <c r="F184" s="177">
        <v>17</v>
      </c>
      <c r="G184" s="177">
        <f>SUM(E184:F184)</f>
        <v>42</v>
      </c>
      <c r="H184" s="177">
        <v>1.2</v>
      </c>
      <c r="I184" s="177">
        <v>1</v>
      </c>
      <c r="J184" s="177">
        <f t="shared" si="124"/>
        <v>806.4</v>
      </c>
      <c r="K184" s="177">
        <v>5.1529999999999996</v>
      </c>
      <c r="L184" s="177">
        <f t="shared" si="125"/>
        <v>0.16489599999999999</v>
      </c>
      <c r="M184" s="177" t="e">
        <f t="shared" si="126"/>
        <v>#REF!</v>
      </c>
      <c r="N184" s="250">
        <f t="shared" si="127"/>
        <v>20.81812</v>
      </c>
      <c r="O184" s="185" t="e">
        <f t="shared" si="128"/>
        <v>#REF!</v>
      </c>
      <c r="P184" s="185">
        <f t="shared" si="129"/>
        <v>19.169159999999998</v>
      </c>
      <c r="Q184" s="185" t="e">
        <f t="shared" si="130"/>
        <v>#REF!</v>
      </c>
      <c r="R184" s="185">
        <f t="shared" si="131"/>
        <v>16.489599999999999</v>
      </c>
      <c r="S184" s="185" t="e">
        <f t="shared" si="132"/>
        <v>#REF!</v>
      </c>
      <c r="T184" s="185">
        <f t="shared" si="133"/>
        <v>14.016159999999999</v>
      </c>
      <c r="U184" s="185" t="e">
        <f t="shared" si="134"/>
        <v>#REF!</v>
      </c>
      <c r="V184" s="185">
        <f t="shared" si="135"/>
        <v>15.871239999999998</v>
      </c>
      <c r="W184" s="185" t="e">
        <f t="shared" si="136"/>
        <v>#REF!</v>
      </c>
      <c r="X184" s="185">
        <f t="shared" si="137"/>
        <v>16.695719999999998</v>
      </c>
      <c r="Y184" s="185" t="e">
        <f t="shared" si="138"/>
        <v>#REF!</v>
      </c>
      <c r="Z184" s="251">
        <f t="shared" si="139"/>
        <v>18.963039999999996</v>
      </c>
      <c r="AA184" s="254"/>
    </row>
    <row r="185" spans="1:27" s="238" customFormat="1" ht="15.75" x14ac:dyDescent="0.2">
      <c r="A185" s="253">
        <v>57</v>
      </c>
      <c r="B185" s="177" t="s">
        <v>136</v>
      </c>
      <c r="C185" s="177">
        <v>264.95</v>
      </c>
      <c r="D185" s="177">
        <v>264.95</v>
      </c>
      <c r="E185" s="177">
        <v>56</v>
      </c>
      <c r="F185" s="177">
        <v>65</v>
      </c>
      <c r="G185" s="177" t="e">
        <f>E185+((F185-E185)/(65-52.5))*((($E$11+$F$11)/2-$G$11)-52.5)</f>
        <v>#REF!</v>
      </c>
      <c r="H185" s="177">
        <v>1.2</v>
      </c>
      <c r="I185" s="177">
        <v>1</v>
      </c>
      <c r="J185" s="177" t="e">
        <f t="shared" si="124"/>
        <v>#REF!</v>
      </c>
      <c r="K185" s="177">
        <v>1.9630000000000001</v>
      </c>
      <c r="L185" s="177">
        <f t="shared" si="125"/>
        <v>1.0401937000000001</v>
      </c>
      <c r="M185" s="177" t="e">
        <f t="shared" si="126"/>
        <v>#REF!</v>
      </c>
      <c r="N185" s="250">
        <f t="shared" si="127"/>
        <v>131.32445462500004</v>
      </c>
      <c r="O185" s="185" t="e">
        <f t="shared" si="128"/>
        <v>#REF!</v>
      </c>
      <c r="P185" s="185">
        <f t="shared" si="129"/>
        <v>120.92251762500001</v>
      </c>
      <c r="Q185" s="185" t="e">
        <f t="shared" si="130"/>
        <v>#REF!</v>
      </c>
      <c r="R185" s="185">
        <f t="shared" si="131"/>
        <v>104.01937000000001</v>
      </c>
      <c r="S185" s="185" t="e">
        <f t="shared" si="132"/>
        <v>#REF!</v>
      </c>
      <c r="T185" s="185">
        <f t="shared" si="133"/>
        <v>88.416464500000018</v>
      </c>
      <c r="U185" s="185" t="e">
        <f t="shared" si="134"/>
        <v>#REF!</v>
      </c>
      <c r="V185" s="185">
        <f t="shared" si="135"/>
        <v>100.11864362500002</v>
      </c>
      <c r="W185" s="185" t="e">
        <f t="shared" si="136"/>
        <v>#REF!</v>
      </c>
      <c r="X185" s="185">
        <f t="shared" si="137"/>
        <v>105.31961212500002</v>
      </c>
      <c r="Y185" s="185" t="e">
        <f t="shared" si="138"/>
        <v>#REF!</v>
      </c>
      <c r="Z185" s="251">
        <f t="shared" si="139"/>
        <v>119.62227550000001</v>
      </c>
      <c r="AA185" s="254"/>
    </row>
    <row r="186" spans="1:27" s="238" customFormat="1" ht="16.5" thickBot="1" x14ac:dyDescent="0.25">
      <c r="A186" s="253">
        <v>57</v>
      </c>
      <c r="B186" s="177" t="s">
        <v>136</v>
      </c>
      <c r="C186" s="276">
        <v>20</v>
      </c>
      <c r="D186" s="276">
        <v>20</v>
      </c>
      <c r="E186" s="271">
        <v>19</v>
      </c>
      <c r="F186" s="271">
        <v>13</v>
      </c>
      <c r="G186" s="276">
        <f>SUM(E186:F186)</f>
        <v>32</v>
      </c>
      <c r="H186" s="177">
        <v>1.2</v>
      </c>
      <c r="I186" s="177">
        <v>1</v>
      </c>
      <c r="J186" s="177">
        <f t="shared" si="124"/>
        <v>768</v>
      </c>
      <c r="K186" s="276">
        <v>1.9630000000000001</v>
      </c>
      <c r="L186" s="177">
        <f t="shared" si="125"/>
        <v>7.8520000000000006E-2</v>
      </c>
      <c r="M186" s="177" t="e">
        <f t="shared" si="126"/>
        <v>#REF!</v>
      </c>
      <c r="N186" s="250">
        <f t="shared" si="127"/>
        <v>9.9131499999999999</v>
      </c>
      <c r="O186" s="185" t="e">
        <f t="shared" si="128"/>
        <v>#REF!</v>
      </c>
      <c r="P186" s="185">
        <f t="shared" si="129"/>
        <v>9.1279500000000002</v>
      </c>
      <c r="Q186" s="185" t="e">
        <f t="shared" si="130"/>
        <v>#REF!</v>
      </c>
      <c r="R186" s="185">
        <f t="shared" si="131"/>
        <v>7.8520000000000012</v>
      </c>
      <c r="S186" s="185" t="e">
        <f t="shared" si="132"/>
        <v>#REF!</v>
      </c>
      <c r="T186" s="185">
        <f t="shared" si="133"/>
        <v>6.6742000000000008</v>
      </c>
      <c r="U186" s="185" t="e">
        <f t="shared" si="134"/>
        <v>#REF!</v>
      </c>
      <c r="V186" s="185">
        <f t="shared" si="135"/>
        <v>7.5575500000000018</v>
      </c>
      <c r="W186" s="185" t="e">
        <f t="shared" si="136"/>
        <v>#REF!</v>
      </c>
      <c r="X186" s="185">
        <f t="shared" si="137"/>
        <v>7.9501500000000016</v>
      </c>
      <c r="Y186" s="185" t="e">
        <f t="shared" si="138"/>
        <v>#REF!</v>
      </c>
      <c r="Z186" s="251">
        <f t="shared" si="139"/>
        <v>9.0298000000000016</v>
      </c>
      <c r="AA186" s="290"/>
    </row>
    <row r="187" spans="1:27" s="238" customFormat="1" ht="15.75" x14ac:dyDescent="0.2">
      <c r="A187" s="256" t="s">
        <v>139</v>
      </c>
      <c r="B187" s="258"/>
      <c r="C187" s="257">
        <f>SUM(C178:C186)</f>
        <v>1472.15</v>
      </c>
      <c r="D187" s="257">
        <f>SUM(D178:D186)</f>
        <v>1472.15</v>
      </c>
      <c r="E187" s="271"/>
      <c r="F187" s="271"/>
      <c r="G187" s="258"/>
      <c r="H187" s="258"/>
      <c r="I187" s="258"/>
      <c r="J187" s="258"/>
      <c r="K187" s="258"/>
      <c r="L187" s="258"/>
      <c r="M187" s="258" t="e">
        <f t="shared" ref="M187:Z187" si="140">SUM(M178:M185)</f>
        <v>#REF!</v>
      </c>
      <c r="N187" s="259">
        <f t="shared" si="140"/>
        <v>4486.3128516250008</v>
      </c>
      <c r="O187" s="260" t="e">
        <f t="shared" si="140"/>
        <v>#REF!</v>
      </c>
      <c r="P187" s="260">
        <f t="shared" si="140"/>
        <v>4130.9613386249994</v>
      </c>
      <c r="Q187" s="260" t="e">
        <f t="shared" si="140"/>
        <v>#REF!</v>
      </c>
      <c r="R187" s="260">
        <f t="shared" si="140"/>
        <v>3553.5151299999998</v>
      </c>
      <c r="S187" s="260" t="e">
        <f t="shared" si="140"/>
        <v>#REF!</v>
      </c>
      <c r="T187" s="260">
        <f t="shared" si="140"/>
        <v>3020.4878605000004</v>
      </c>
      <c r="U187" s="260" t="e">
        <f t="shared" si="140"/>
        <v>#REF!</v>
      </c>
      <c r="V187" s="260">
        <f t="shared" si="140"/>
        <v>3420.2583126250001</v>
      </c>
      <c r="W187" s="260" t="e">
        <f t="shared" si="140"/>
        <v>#REF!</v>
      </c>
      <c r="X187" s="260">
        <f t="shared" si="140"/>
        <v>3597.9340691250004</v>
      </c>
      <c r="Y187" s="260" t="e">
        <f t="shared" si="140"/>
        <v>#REF!</v>
      </c>
      <c r="Z187" s="261">
        <f t="shared" si="140"/>
        <v>4086.5423995000006</v>
      </c>
      <c r="AA187" s="249"/>
    </row>
    <row r="188" spans="1:27" s="238" customFormat="1" ht="16.5" thickBot="1" x14ac:dyDescent="0.3">
      <c r="A188" s="277"/>
      <c r="B188" s="265" t="s">
        <v>140</v>
      </c>
      <c r="C188" s="265">
        <v>0</v>
      </c>
      <c r="D188" s="265">
        <v>0</v>
      </c>
      <c r="E188" s="266"/>
      <c r="F188" s="266"/>
      <c r="G188" s="266"/>
      <c r="H188" s="266"/>
      <c r="I188" s="266"/>
      <c r="J188" s="266"/>
      <c r="K188" s="266"/>
      <c r="L188" s="266"/>
      <c r="M188" s="266"/>
      <c r="N188" s="267" t="e">
        <f>ROUND(((M187+N187)*#REF!*24*0.000001),2)</f>
        <v>#REF!</v>
      </c>
      <c r="O188" s="281"/>
      <c r="P188" s="281" t="e">
        <f>ROUND(((O187+P187)*#REF!*24*0.000001),2)</f>
        <v>#REF!</v>
      </c>
      <c r="Q188" s="281"/>
      <c r="R188" s="281" t="e">
        <f>ROUND(((Q187+R187)*#REF!*24*0.000001),2)</f>
        <v>#REF!</v>
      </c>
      <c r="S188" s="281"/>
      <c r="T188" s="281" t="e">
        <f>ROUND(((S187+T187)*#REF!*24*0.000001),2)</f>
        <v>#REF!</v>
      </c>
      <c r="U188" s="281"/>
      <c r="V188" s="281" t="e">
        <f>ROUND(((U187+V187)*#REF!*24*0.000001),2)</f>
        <v>#REF!</v>
      </c>
      <c r="W188" s="281"/>
      <c r="X188" s="281" t="e">
        <f>ROUND(((W187+X187)*#REF!*24*0.000001),2)</f>
        <v>#REF!</v>
      </c>
      <c r="Y188" s="281"/>
      <c r="Z188" s="282" t="e">
        <f>ROUND(((Y187+Z187)*#REF!*24*0.000001),2)</f>
        <v>#REF!</v>
      </c>
      <c r="AA188" s="268" t="e">
        <f>N188+P188+R188+T188+V188+X188+Z188</f>
        <v>#REF!</v>
      </c>
    </row>
    <row r="189" spans="1:27" s="238" customFormat="1" ht="15.75" x14ac:dyDescent="0.2">
      <c r="A189" s="283" t="s">
        <v>30</v>
      </c>
      <c r="B189" s="284"/>
      <c r="C189" s="284"/>
      <c r="D189" s="284"/>
      <c r="E189" s="284"/>
      <c r="F189" s="284"/>
      <c r="G189" s="271"/>
      <c r="H189" s="284"/>
      <c r="I189" s="284"/>
      <c r="J189" s="271"/>
      <c r="K189" s="284"/>
      <c r="L189" s="271"/>
      <c r="M189" s="271"/>
      <c r="N189" s="272"/>
      <c r="O189" s="273"/>
      <c r="P189" s="273"/>
      <c r="Q189" s="273"/>
      <c r="R189" s="273"/>
      <c r="S189" s="273"/>
      <c r="T189" s="273"/>
      <c r="U189" s="273"/>
      <c r="V189" s="273"/>
      <c r="W189" s="273"/>
      <c r="X189" s="273"/>
      <c r="Y189" s="273"/>
      <c r="Z189" s="274"/>
      <c r="AA189" s="275" t="s">
        <v>162</v>
      </c>
    </row>
    <row r="190" spans="1:27" s="238" customFormat="1" ht="15.75" x14ac:dyDescent="0.2">
      <c r="A190" s="177">
        <v>159</v>
      </c>
      <c r="B190" s="177" t="s">
        <v>136</v>
      </c>
      <c r="C190" s="177">
        <v>164.6</v>
      </c>
      <c r="D190" s="177">
        <v>164.6</v>
      </c>
      <c r="E190" s="177">
        <v>94</v>
      </c>
      <c r="F190" s="177">
        <v>107</v>
      </c>
      <c r="G190" s="177" t="e">
        <f>E190+((F190-E190)/(65-52.5))*((($E$11+$F$11)/2-$G$11)-52.5)</f>
        <v>#REF!</v>
      </c>
      <c r="H190" s="177">
        <v>1.2</v>
      </c>
      <c r="I190" s="177">
        <v>1</v>
      </c>
      <c r="J190" s="177" t="e">
        <f t="shared" ref="J190:J196" si="141">H190*C190*G190*I190</f>
        <v>#REF!</v>
      </c>
      <c r="K190" s="177">
        <v>17.670000000000002</v>
      </c>
      <c r="L190" s="177">
        <f t="shared" ref="L190:L195" si="142">(C190+D190)*K190*0.001</f>
        <v>5.8169640000000005</v>
      </c>
      <c r="M190" s="177" t="e">
        <f>J190*(($E$4+$F$4-2*$G$4)/($E$11+$F$11-2*$G$11))</f>
        <v>#REF!</v>
      </c>
      <c r="N190" s="250">
        <f>0.00125*1*L190*($E$4+$F$4-2*5)*1000</f>
        <v>734.39170500000012</v>
      </c>
      <c r="O190" s="185" t="e">
        <f>J190*(($E$5+$F$5-2*$G$5)/($E$11+$F$11-2*$G$11))</f>
        <v>#REF!</v>
      </c>
      <c r="P190" s="185">
        <f>0.00125*1*L190*($E$5+$F$5-2*5)*1000</f>
        <v>676.22206500000016</v>
      </c>
      <c r="Q190" s="185" t="e">
        <f>J190*(($E$6+$F$6-2*$G$6)/($E$11+$F$11-2*$G$11))</f>
        <v>#REF!</v>
      </c>
      <c r="R190" s="185">
        <f>0.00125*1*L190*($E$6+$F$6-2*5)*1000</f>
        <v>581.69640000000015</v>
      </c>
      <c r="S190" s="185" t="e">
        <f>J190*(($E$7+$F$7-2*$G$7)/($E$11+$F$11-2*$G$11))</f>
        <v>#REF!</v>
      </c>
      <c r="T190" s="185">
        <f>0.00125*1*L190*($E$7+$F$7-2*5)*1000</f>
        <v>494.4419400000001</v>
      </c>
      <c r="U190" s="185" t="e">
        <f>J190*(($E$8+$F$8-2*$G$8)/($E$11+$F$11-2*$G$11))</f>
        <v>#REF!</v>
      </c>
      <c r="V190" s="185">
        <f>0.00125*1*L190*($E$8+$F$8-2*5)*1000</f>
        <v>559.88278500000013</v>
      </c>
      <c r="W190" s="185" t="e">
        <f>J190*(($E$9+$F$9-2*$G$9)/($E$11+$F$11-2*$G$11))</f>
        <v>#REF!</v>
      </c>
      <c r="X190" s="185">
        <f>0.00125*1*L190*($E$9+$F$9-2*5)*1000</f>
        <v>588.96760500000016</v>
      </c>
      <c r="Y190" s="185" t="e">
        <f>J190*(($E$10+$F$10-2*$G$10)/($E$11+$F$11-2*$G$11))</f>
        <v>#REF!</v>
      </c>
      <c r="Z190" s="251">
        <f>0.00125*1*L190*($E$10+$F$10-2*5)*1000</f>
        <v>668.95086000000015</v>
      </c>
      <c r="AA190" s="252"/>
    </row>
    <row r="191" spans="1:27" s="238" customFormat="1" ht="15.75" x14ac:dyDescent="0.2">
      <c r="A191" s="177">
        <v>159</v>
      </c>
      <c r="B191" s="177" t="s">
        <v>136</v>
      </c>
      <c r="C191" s="177">
        <v>266.75</v>
      </c>
      <c r="D191" s="177">
        <v>266.75</v>
      </c>
      <c r="E191" s="177">
        <v>33</v>
      </c>
      <c r="F191" s="177">
        <v>22</v>
      </c>
      <c r="G191" s="177">
        <f>SUM(E191:F191)</f>
        <v>55</v>
      </c>
      <c r="H191" s="177">
        <v>1.2</v>
      </c>
      <c r="I191" s="177">
        <v>1</v>
      </c>
      <c r="J191" s="177">
        <f t="shared" si="141"/>
        <v>17605.499999999996</v>
      </c>
      <c r="K191" s="177">
        <v>17.670000000000002</v>
      </c>
      <c r="L191" s="177">
        <f t="shared" si="142"/>
        <v>9.4269450000000017</v>
      </c>
      <c r="M191" s="177" t="e">
        <f t="shared" ref="M191:M196" si="143">J191*(($E$4+$F$4-2*$G$4)/($E$11+$F$11-2*$G$11))</f>
        <v>#REF!</v>
      </c>
      <c r="N191" s="250">
        <f t="shared" ref="N191:N196" si="144">0.00125*1*L191*($E$4+$F$4-2*5)*1000</f>
        <v>1190.1518062500004</v>
      </c>
      <c r="O191" s="185" t="e">
        <f t="shared" ref="O191:O196" si="145">J191*(($E$5+$F$5-2*$G$5)/($E$11+$F$11-2*$G$11))</f>
        <v>#REF!</v>
      </c>
      <c r="P191" s="185">
        <f t="shared" ref="P191:P196" si="146">0.00125*1*L191*($E$5+$F$5-2*5)*1000</f>
        <v>1095.8823562500002</v>
      </c>
      <c r="Q191" s="185" t="e">
        <f t="shared" ref="Q191:Q196" si="147">J191*(($E$6+$F$6-2*$G$6)/($E$11+$F$11-2*$G$11))</f>
        <v>#REF!</v>
      </c>
      <c r="R191" s="185">
        <f t="shared" ref="R191:R196" si="148">0.00125*1*L191*($E$6+$F$6-2*5)*1000</f>
        <v>942.69450000000018</v>
      </c>
      <c r="S191" s="185" t="e">
        <f t="shared" ref="S191:S196" si="149">J191*(($E$7+$F$7-2*$G$7)/($E$11+$F$11-2*$G$11))</f>
        <v>#REF!</v>
      </c>
      <c r="T191" s="185">
        <f t="shared" ref="T191:T196" si="150">0.00125*1*L191*($E$7+$F$7-2*5)*1000</f>
        <v>801.29032500000017</v>
      </c>
      <c r="U191" s="185" t="e">
        <f t="shared" ref="U191:U196" si="151">J191*(($E$8+$F$8-2*$G$8)/($E$11+$F$11-2*$G$11))</f>
        <v>#REF!</v>
      </c>
      <c r="V191" s="185">
        <f t="shared" ref="V191:V196" si="152">0.00125*1*L191*($E$8+$F$8-2*5)*1000</f>
        <v>907.34345625000014</v>
      </c>
      <c r="W191" s="185" t="e">
        <f t="shared" ref="W191:W196" si="153">J191*(($E$9+$F$9-2*$G$9)/($E$11+$F$11-2*$G$11))</f>
        <v>#REF!</v>
      </c>
      <c r="X191" s="185">
        <f t="shared" ref="X191:X196" si="154">0.00125*1*L191*($E$9+$F$9-2*5)*1000</f>
        <v>954.47818125000015</v>
      </c>
      <c r="Y191" s="185" t="e">
        <f t="shared" ref="Y191:Y196" si="155">J191*(($E$10+$F$10-2*$G$10)/($E$11+$F$11-2*$G$11))</f>
        <v>#REF!</v>
      </c>
      <c r="Z191" s="251">
        <f t="shared" ref="Z191:Z196" si="156">0.00125*1*L191*($E$10+$F$10-2*5)*1000</f>
        <v>1084.0986750000002</v>
      </c>
      <c r="AA191" s="252"/>
    </row>
    <row r="192" spans="1:27" s="238" customFormat="1" ht="15.75" x14ac:dyDescent="0.2">
      <c r="A192" s="177">
        <v>108</v>
      </c>
      <c r="B192" s="177" t="s">
        <v>136</v>
      </c>
      <c r="C192" s="177">
        <v>115</v>
      </c>
      <c r="D192" s="177">
        <v>115</v>
      </c>
      <c r="E192" s="177">
        <v>76</v>
      </c>
      <c r="F192" s="177">
        <v>88</v>
      </c>
      <c r="G192" s="177" t="e">
        <f>E192+((F192-E192)/(65-52.5))*((($E$11+$F$11)/2-$G$11)-52.5)</f>
        <v>#REF!</v>
      </c>
      <c r="H192" s="177">
        <v>1.2</v>
      </c>
      <c r="I192" s="177">
        <v>1</v>
      </c>
      <c r="J192" s="177" t="e">
        <f t="shared" si="141"/>
        <v>#REF!</v>
      </c>
      <c r="K192" s="177">
        <v>7.8540000000000001</v>
      </c>
      <c r="L192" s="177">
        <f t="shared" si="142"/>
        <v>1.8064200000000001</v>
      </c>
      <c r="M192" s="177" t="e">
        <f t="shared" si="143"/>
        <v>#REF!</v>
      </c>
      <c r="N192" s="250">
        <f t="shared" si="144"/>
        <v>228.06052500000004</v>
      </c>
      <c r="O192" s="185" t="e">
        <f t="shared" si="145"/>
        <v>#REF!</v>
      </c>
      <c r="P192" s="185">
        <f t="shared" si="146"/>
        <v>209.99632500000004</v>
      </c>
      <c r="Q192" s="185" t="e">
        <f t="shared" si="147"/>
        <v>#REF!</v>
      </c>
      <c r="R192" s="185">
        <f t="shared" si="148"/>
        <v>180.64200000000002</v>
      </c>
      <c r="S192" s="185" t="e">
        <f t="shared" si="149"/>
        <v>#REF!</v>
      </c>
      <c r="T192" s="185">
        <f t="shared" si="150"/>
        <v>153.54570000000001</v>
      </c>
      <c r="U192" s="185" t="e">
        <f t="shared" si="151"/>
        <v>#REF!</v>
      </c>
      <c r="V192" s="185">
        <f t="shared" si="152"/>
        <v>173.86792500000004</v>
      </c>
      <c r="W192" s="185" t="e">
        <f t="shared" si="153"/>
        <v>#REF!</v>
      </c>
      <c r="X192" s="185">
        <f t="shared" si="154"/>
        <v>182.90002500000003</v>
      </c>
      <c r="Y192" s="185" t="e">
        <f t="shared" si="155"/>
        <v>#REF!</v>
      </c>
      <c r="Z192" s="251">
        <f t="shared" si="156"/>
        <v>207.73830000000004</v>
      </c>
      <c r="AA192" s="252"/>
    </row>
    <row r="193" spans="1:27" s="238" customFormat="1" ht="15.75" x14ac:dyDescent="0.2">
      <c r="A193" s="253">
        <v>108</v>
      </c>
      <c r="B193" s="177" t="s">
        <v>136</v>
      </c>
      <c r="C193" s="253">
        <v>13</v>
      </c>
      <c r="D193" s="253">
        <v>13</v>
      </c>
      <c r="E193" s="253">
        <v>28</v>
      </c>
      <c r="F193" s="253">
        <v>19</v>
      </c>
      <c r="G193" s="253">
        <f>SUM(E193:F193)</f>
        <v>47</v>
      </c>
      <c r="H193" s="177">
        <v>1.2</v>
      </c>
      <c r="I193" s="177">
        <v>1</v>
      </c>
      <c r="J193" s="177">
        <f t="shared" si="141"/>
        <v>733.19999999999993</v>
      </c>
      <c r="K193" s="177">
        <v>7.8540000000000001</v>
      </c>
      <c r="L193" s="177">
        <f t="shared" si="142"/>
        <v>0.20420400000000002</v>
      </c>
      <c r="M193" s="177" t="e">
        <f t="shared" si="143"/>
        <v>#REF!</v>
      </c>
      <c r="N193" s="250">
        <f t="shared" si="144"/>
        <v>25.780755000000003</v>
      </c>
      <c r="O193" s="185" t="e">
        <f t="shared" si="145"/>
        <v>#REF!</v>
      </c>
      <c r="P193" s="185">
        <f t="shared" si="146"/>
        <v>23.738714999999999</v>
      </c>
      <c r="Q193" s="185" t="e">
        <f t="shared" si="147"/>
        <v>#REF!</v>
      </c>
      <c r="R193" s="185">
        <f t="shared" si="148"/>
        <v>20.420400000000001</v>
      </c>
      <c r="S193" s="185" t="e">
        <f t="shared" si="149"/>
        <v>#REF!</v>
      </c>
      <c r="T193" s="185">
        <f t="shared" si="150"/>
        <v>17.357340000000001</v>
      </c>
      <c r="U193" s="185" t="e">
        <f t="shared" si="151"/>
        <v>#REF!</v>
      </c>
      <c r="V193" s="185">
        <f t="shared" si="152"/>
        <v>19.654634999999999</v>
      </c>
      <c r="W193" s="185" t="e">
        <f t="shared" si="153"/>
        <v>#REF!</v>
      </c>
      <c r="X193" s="185">
        <f t="shared" si="154"/>
        <v>20.675655000000003</v>
      </c>
      <c r="Y193" s="185" t="e">
        <f t="shared" si="155"/>
        <v>#REF!</v>
      </c>
      <c r="Z193" s="251">
        <f t="shared" si="156"/>
        <v>23.483460000000001</v>
      </c>
      <c r="AA193" s="254"/>
    </row>
    <row r="194" spans="1:27" s="238" customFormat="1" ht="15.75" x14ac:dyDescent="0.2">
      <c r="A194" s="253">
        <v>89</v>
      </c>
      <c r="B194" s="177" t="s">
        <v>136</v>
      </c>
      <c r="C194" s="253">
        <v>10</v>
      </c>
      <c r="D194" s="253">
        <v>10</v>
      </c>
      <c r="E194" s="253">
        <v>69</v>
      </c>
      <c r="F194" s="253">
        <v>80</v>
      </c>
      <c r="G194" s="177" t="e">
        <f>E194+((F194-E194)/(65-52.5))*((($E$11+$F$11)/2-$G$11)-52.5)</f>
        <v>#REF!</v>
      </c>
      <c r="H194" s="177">
        <v>1.2</v>
      </c>
      <c r="I194" s="177">
        <v>1</v>
      </c>
      <c r="J194" s="177" t="e">
        <f t="shared" si="141"/>
        <v>#REF!</v>
      </c>
      <c r="K194" s="177">
        <v>3.7389999999999999</v>
      </c>
      <c r="L194" s="177">
        <f t="shared" si="142"/>
        <v>7.4779999999999999E-2</v>
      </c>
      <c r="M194" s="177" t="e">
        <f t="shared" si="143"/>
        <v>#REF!</v>
      </c>
      <c r="N194" s="250">
        <f t="shared" si="144"/>
        <v>9.4409749999999999</v>
      </c>
      <c r="O194" s="185" t="e">
        <f t="shared" si="145"/>
        <v>#REF!</v>
      </c>
      <c r="P194" s="185">
        <f t="shared" si="146"/>
        <v>8.6931749999999983</v>
      </c>
      <c r="Q194" s="185" t="e">
        <f t="shared" si="147"/>
        <v>#REF!</v>
      </c>
      <c r="R194" s="185">
        <f t="shared" si="148"/>
        <v>7.4779999999999998</v>
      </c>
      <c r="S194" s="185" t="e">
        <f t="shared" si="149"/>
        <v>#REF!</v>
      </c>
      <c r="T194" s="185">
        <f t="shared" si="150"/>
        <v>6.3563000000000001</v>
      </c>
      <c r="U194" s="185" t="e">
        <f t="shared" si="151"/>
        <v>#REF!</v>
      </c>
      <c r="V194" s="185">
        <f t="shared" si="152"/>
        <v>7.1975749999999996</v>
      </c>
      <c r="W194" s="185" t="e">
        <f t="shared" si="153"/>
        <v>#REF!</v>
      </c>
      <c r="X194" s="185">
        <f t="shared" si="154"/>
        <v>7.5714749999999995</v>
      </c>
      <c r="Y194" s="185" t="e">
        <f t="shared" si="155"/>
        <v>#REF!</v>
      </c>
      <c r="Z194" s="251">
        <f t="shared" si="156"/>
        <v>8.5997000000000003</v>
      </c>
      <c r="AA194" s="254"/>
    </row>
    <row r="195" spans="1:27" s="238" customFormat="1" ht="15.75" x14ac:dyDescent="0.2">
      <c r="A195" s="253">
        <v>89</v>
      </c>
      <c r="B195" s="177" t="s">
        <v>136</v>
      </c>
      <c r="C195" s="253">
        <v>75</v>
      </c>
      <c r="D195" s="253">
        <v>75</v>
      </c>
      <c r="E195" s="253">
        <v>25</v>
      </c>
      <c r="F195" s="253">
        <v>17</v>
      </c>
      <c r="G195" s="177">
        <f>SUM(E195:F195)</f>
        <v>42</v>
      </c>
      <c r="H195" s="177">
        <v>1.2</v>
      </c>
      <c r="I195" s="177">
        <v>1</v>
      </c>
      <c r="J195" s="177">
        <f t="shared" si="141"/>
        <v>3780</v>
      </c>
      <c r="K195" s="177">
        <v>3.7389999999999999</v>
      </c>
      <c r="L195" s="177">
        <f t="shared" si="142"/>
        <v>0.56085000000000007</v>
      </c>
      <c r="M195" s="177" t="e">
        <f t="shared" si="143"/>
        <v>#REF!</v>
      </c>
      <c r="N195" s="250">
        <f t="shared" si="144"/>
        <v>70.807312500000009</v>
      </c>
      <c r="O195" s="185" t="e">
        <f t="shared" si="145"/>
        <v>#REF!</v>
      </c>
      <c r="P195" s="185">
        <f t="shared" si="146"/>
        <v>65.198812500000003</v>
      </c>
      <c r="Q195" s="185" t="e">
        <f t="shared" si="147"/>
        <v>#REF!</v>
      </c>
      <c r="R195" s="185">
        <f t="shared" si="148"/>
        <v>56.085000000000008</v>
      </c>
      <c r="S195" s="185" t="e">
        <f t="shared" si="149"/>
        <v>#REF!</v>
      </c>
      <c r="T195" s="185">
        <f t="shared" si="150"/>
        <v>47.672250000000005</v>
      </c>
      <c r="U195" s="185" t="e">
        <f t="shared" si="151"/>
        <v>#REF!</v>
      </c>
      <c r="V195" s="185">
        <f t="shared" si="152"/>
        <v>53.981812500000004</v>
      </c>
      <c r="W195" s="185" t="e">
        <f t="shared" si="153"/>
        <v>#REF!</v>
      </c>
      <c r="X195" s="185">
        <f t="shared" si="154"/>
        <v>56.786062500000007</v>
      </c>
      <c r="Y195" s="185" t="e">
        <f t="shared" si="155"/>
        <v>#REF!</v>
      </c>
      <c r="Z195" s="251">
        <f t="shared" si="156"/>
        <v>64.497750000000011</v>
      </c>
      <c r="AA195" s="254"/>
    </row>
    <row r="196" spans="1:27" s="238" customFormat="1" ht="16.5" thickBot="1" x14ac:dyDescent="0.25">
      <c r="A196" s="177">
        <v>57</v>
      </c>
      <c r="B196" s="177" t="s">
        <v>136</v>
      </c>
      <c r="C196" s="177">
        <v>85</v>
      </c>
      <c r="D196" s="177">
        <v>85</v>
      </c>
      <c r="E196" s="177">
        <v>19</v>
      </c>
      <c r="F196" s="177">
        <v>13</v>
      </c>
      <c r="G196" s="177">
        <f>SUM(E196:F196)</f>
        <v>32</v>
      </c>
      <c r="H196" s="177">
        <v>1.2</v>
      </c>
      <c r="I196" s="177">
        <v>1</v>
      </c>
      <c r="J196" s="177">
        <f t="shared" si="141"/>
        <v>3264</v>
      </c>
      <c r="K196" s="177">
        <v>1.9630000000000001</v>
      </c>
      <c r="L196" s="177">
        <f>(C196+D196)*K196*0.001</f>
        <v>0.33371000000000006</v>
      </c>
      <c r="M196" s="177" t="e">
        <f t="shared" si="143"/>
        <v>#REF!</v>
      </c>
      <c r="N196" s="250">
        <f t="shared" si="144"/>
        <v>42.130887500000014</v>
      </c>
      <c r="O196" s="185" t="e">
        <f t="shared" si="145"/>
        <v>#REF!</v>
      </c>
      <c r="P196" s="185">
        <f t="shared" si="146"/>
        <v>38.793787500000008</v>
      </c>
      <c r="Q196" s="185" t="e">
        <f t="shared" si="147"/>
        <v>#REF!</v>
      </c>
      <c r="R196" s="185">
        <f t="shared" si="148"/>
        <v>33.371000000000009</v>
      </c>
      <c r="S196" s="185" t="e">
        <f t="shared" si="149"/>
        <v>#REF!</v>
      </c>
      <c r="T196" s="185">
        <f t="shared" si="150"/>
        <v>28.365350000000007</v>
      </c>
      <c r="U196" s="185" t="e">
        <f t="shared" si="151"/>
        <v>#REF!</v>
      </c>
      <c r="V196" s="185">
        <f t="shared" si="152"/>
        <v>32.119587500000002</v>
      </c>
      <c r="W196" s="185" t="e">
        <f t="shared" si="153"/>
        <v>#REF!</v>
      </c>
      <c r="X196" s="185">
        <f t="shared" si="154"/>
        <v>33.788137500000012</v>
      </c>
      <c r="Y196" s="185" t="e">
        <f t="shared" si="155"/>
        <v>#REF!</v>
      </c>
      <c r="Z196" s="251">
        <f t="shared" si="156"/>
        <v>38.376650000000012</v>
      </c>
      <c r="AA196" s="254"/>
    </row>
    <row r="197" spans="1:27" s="238" customFormat="1" ht="15.75" x14ac:dyDescent="0.2">
      <c r="A197" s="256" t="s">
        <v>139</v>
      </c>
      <c r="B197" s="258"/>
      <c r="C197" s="257">
        <f>SUM(C190:C196)</f>
        <v>729.35</v>
      </c>
      <c r="D197" s="257">
        <f>SUM(D190:D196)</f>
        <v>729.35</v>
      </c>
      <c r="E197" s="258"/>
      <c r="F197" s="258"/>
      <c r="G197" s="258"/>
      <c r="H197" s="258"/>
      <c r="I197" s="258"/>
      <c r="J197" s="258"/>
      <c r="K197" s="258"/>
      <c r="L197" s="258"/>
      <c r="M197" s="258" t="e">
        <f t="shared" ref="M197:Z197" si="157">SUM(M190:M196)</f>
        <v>#REF!</v>
      </c>
      <c r="N197" s="259">
        <f t="shared" si="157"/>
        <v>2300.7639662500005</v>
      </c>
      <c r="O197" s="260" t="e">
        <f t="shared" si="157"/>
        <v>#REF!</v>
      </c>
      <c r="P197" s="260">
        <f t="shared" si="157"/>
        <v>2118.5252362500005</v>
      </c>
      <c r="Q197" s="260" t="e">
        <f t="shared" si="157"/>
        <v>#REF!</v>
      </c>
      <c r="R197" s="260">
        <f t="shared" si="157"/>
        <v>1822.3873000000006</v>
      </c>
      <c r="S197" s="260" t="e">
        <f t="shared" si="157"/>
        <v>#REF!</v>
      </c>
      <c r="T197" s="260">
        <f t="shared" si="157"/>
        <v>1549.0292050000003</v>
      </c>
      <c r="U197" s="260" t="e">
        <f t="shared" si="157"/>
        <v>#REF!</v>
      </c>
      <c r="V197" s="260">
        <f t="shared" si="157"/>
        <v>1754.0477762500004</v>
      </c>
      <c r="W197" s="260" t="e">
        <f t="shared" si="157"/>
        <v>#REF!</v>
      </c>
      <c r="X197" s="260">
        <f t="shared" si="157"/>
        <v>1845.1671412500002</v>
      </c>
      <c r="Y197" s="260" t="e">
        <f t="shared" si="157"/>
        <v>#REF!</v>
      </c>
      <c r="Z197" s="261">
        <f t="shared" si="157"/>
        <v>2095.7453950000004</v>
      </c>
      <c r="AA197" s="249"/>
    </row>
    <row r="198" spans="1:27" s="238" customFormat="1" ht="16.5" thickBot="1" x14ac:dyDescent="0.3">
      <c r="A198" s="277"/>
      <c r="B198" s="265" t="s">
        <v>140</v>
      </c>
      <c r="C198" s="265">
        <v>0</v>
      </c>
      <c r="D198" s="265">
        <v>0</v>
      </c>
      <c r="E198" s="266"/>
      <c r="F198" s="266"/>
      <c r="G198" s="266"/>
      <c r="H198" s="266"/>
      <c r="I198" s="266"/>
      <c r="J198" s="266"/>
      <c r="K198" s="266"/>
      <c r="L198" s="266"/>
      <c r="M198" s="266"/>
      <c r="N198" s="267" t="e">
        <f>ROUND(((M197+N197)*#REF!*24*0.000001),2)</f>
        <v>#REF!</v>
      </c>
      <c r="O198" s="281"/>
      <c r="P198" s="281" t="e">
        <f>ROUND(((O197+P197)*#REF!*24*0.000001),2)</f>
        <v>#REF!</v>
      </c>
      <c r="Q198" s="281"/>
      <c r="R198" s="281" t="e">
        <f>ROUND(((Q197+R197)*#REF!*24*0.000001),2)</f>
        <v>#REF!</v>
      </c>
      <c r="S198" s="281"/>
      <c r="T198" s="281" t="e">
        <f>ROUND(((S197+T197)*#REF!*24*0.000001),2)</f>
        <v>#REF!</v>
      </c>
      <c r="U198" s="281"/>
      <c r="V198" s="281" t="e">
        <f>ROUND(((U197+V197)*#REF!*24*0.000001),2)</f>
        <v>#REF!</v>
      </c>
      <c r="W198" s="281"/>
      <c r="X198" s="281" t="e">
        <f>ROUND(((W197+X197)*#REF!*24*0.000001),2)</f>
        <v>#REF!</v>
      </c>
      <c r="Y198" s="281"/>
      <c r="Z198" s="282" t="e">
        <f>ROUND(((Y197+Z197)*#REF!*24*0.000001),2)</f>
        <v>#REF!</v>
      </c>
      <c r="AA198" s="292" t="e">
        <f>N198+P198+R198+T198+V198+X198+Z198</f>
        <v>#REF!</v>
      </c>
    </row>
    <row r="199" spans="1:27" s="238" customFormat="1" ht="16.5" hidden="1" thickBot="1" x14ac:dyDescent="0.25">
      <c r="A199" s="511" t="s">
        <v>163</v>
      </c>
      <c r="B199" s="511"/>
      <c r="C199" s="511"/>
      <c r="D199" s="511"/>
      <c r="E199" s="511"/>
      <c r="F199" s="512"/>
      <c r="G199" s="276"/>
      <c r="H199" s="286"/>
      <c r="I199" s="286"/>
      <c r="J199" s="276"/>
      <c r="K199" s="286"/>
      <c r="L199" s="276"/>
      <c r="M199" s="276"/>
      <c r="N199" s="293"/>
      <c r="O199" s="294"/>
      <c r="P199" s="294"/>
      <c r="Q199" s="294"/>
      <c r="R199" s="294"/>
      <c r="S199" s="294"/>
      <c r="T199" s="294"/>
      <c r="U199" s="294"/>
      <c r="V199" s="294"/>
      <c r="W199" s="294"/>
      <c r="X199" s="294"/>
      <c r="Y199" s="294"/>
      <c r="Z199" s="295"/>
      <c r="AA199" s="290" t="s">
        <v>164</v>
      </c>
    </row>
    <row r="200" spans="1:27" s="238" customFormat="1" ht="15.75" hidden="1" x14ac:dyDescent="0.2">
      <c r="A200" s="296">
        <v>89</v>
      </c>
      <c r="B200" s="258" t="s">
        <v>136</v>
      </c>
      <c r="C200" s="258">
        <v>0</v>
      </c>
      <c r="D200" s="258">
        <v>0</v>
      </c>
      <c r="E200" s="258">
        <v>25</v>
      </c>
      <c r="F200" s="258">
        <v>17</v>
      </c>
      <c r="G200" s="258">
        <f>SUM(E200:F200)</f>
        <v>42</v>
      </c>
      <c r="H200" s="258">
        <v>1.2</v>
      </c>
      <c r="I200" s="258">
        <v>1</v>
      </c>
      <c r="J200" s="258">
        <f>H200*C200*G200*I200</f>
        <v>0</v>
      </c>
      <c r="K200" s="258">
        <v>5.1529999999999996</v>
      </c>
      <c r="L200" s="258">
        <f>(C200+D200)*K200*0.001</f>
        <v>0</v>
      </c>
      <c r="M200" s="258" t="e">
        <f>J200*(($E$4+$F$4-2*$G$4)/($E$11+$F$11-2*$G$11))</f>
        <v>#REF!</v>
      </c>
      <c r="N200" s="259">
        <f>0.00125*1*L200*($E$4+$F$4-2*5)*1000</f>
        <v>0</v>
      </c>
      <c r="O200" s="260" t="e">
        <f>J200*(($E$5+$F$5-2*$G$5)/($E$11+$F$11-2*$G$11))</f>
        <v>#REF!</v>
      </c>
      <c r="P200" s="260">
        <f>0.00125*1*L200*($E$5+$F$5-2*5)*1000</f>
        <v>0</v>
      </c>
      <c r="Q200" s="260" t="e">
        <f>J200*(($E$6+$F$6-2*$G$6)/($E$11+$F$11-2*$G$11))</f>
        <v>#REF!</v>
      </c>
      <c r="R200" s="260">
        <f>0.00125*1*L200*($E$6+$F$6-2*5)*1000</f>
        <v>0</v>
      </c>
      <c r="S200" s="260" t="e">
        <f>J200*(($E$7+$F$7-2*$G$7)/($E$11+$F$11-2*$G$11))</f>
        <v>#REF!</v>
      </c>
      <c r="T200" s="260">
        <f>0.00125*1*L200*($E$7+$F$7-2*5)*1000</f>
        <v>0</v>
      </c>
      <c r="U200" s="260" t="e">
        <f>J200*(($E$8+$F$8-2*$G$8)/($E$11+$F$11-2*$G$11))</f>
        <v>#REF!</v>
      </c>
      <c r="V200" s="260">
        <f>0.00125*1*L200*($E$8+$F$8-2*5)*1000</f>
        <v>0</v>
      </c>
      <c r="W200" s="260" t="e">
        <f>J200*(($E$9+$F$9-2*$G$9)/($E$11+$F$11-2*$G$11))</f>
        <v>#REF!</v>
      </c>
      <c r="X200" s="260">
        <f>0.00125*1*L200*($E$9+$F$9-2*5)*1000</f>
        <v>0</v>
      </c>
      <c r="Y200" s="260" t="e">
        <f>J200*(($E$10+$F$10-2*$G$10)/($E$11+$F$11-2*$G$11))</f>
        <v>#REF!</v>
      </c>
      <c r="Z200" s="261">
        <f>0.00125*1*L200*($E$10+$F$10-2*5)*1000</f>
        <v>0</v>
      </c>
      <c r="AA200" s="249"/>
    </row>
    <row r="201" spans="1:27" s="238" customFormat="1" ht="15.75" hidden="1" x14ac:dyDescent="0.2">
      <c r="A201" s="297">
        <v>76</v>
      </c>
      <c r="B201" s="177" t="s">
        <v>136</v>
      </c>
      <c r="C201" s="177">
        <v>0</v>
      </c>
      <c r="D201" s="177">
        <v>0</v>
      </c>
      <c r="E201" s="177">
        <v>23</v>
      </c>
      <c r="F201" s="177">
        <v>16</v>
      </c>
      <c r="G201" s="177">
        <f>SUM(E201:F201)</f>
        <v>39</v>
      </c>
      <c r="H201" s="177">
        <v>1.2</v>
      </c>
      <c r="I201" s="177">
        <v>1</v>
      </c>
      <c r="J201" s="177">
        <f>H201*C201*G201*I201</f>
        <v>0</v>
      </c>
      <c r="K201" s="177">
        <v>3.7389999999999999</v>
      </c>
      <c r="L201" s="177">
        <f>(C201+D201)*K201*0.001</f>
        <v>0</v>
      </c>
      <c r="M201" s="177" t="e">
        <f>J201*(($E$4+$F$4-2*$G$4)/($E$11+$F$11-2*$G$11))</f>
        <v>#REF!</v>
      </c>
      <c r="N201" s="250">
        <f>0.00125*1*L201*($E$4+$F$4-2*5)*1000</f>
        <v>0</v>
      </c>
      <c r="O201" s="185" t="e">
        <f>J201*(($E$5+$F$5-2*$G$5)/($E$11+$F$11-2*$G$11))</f>
        <v>#REF!</v>
      </c>
      <c r="P201" s="185">
        <f>0.00125*1*L201*($E$5+$F$5-2*5)*1000</f>
        <v>0</v>
      </c>
      <c r="Q201" s="185" t="e">
        <f>J201*(($E$6+$F$6-2*$G$6)/($E$11+$F$11-2*$G$11))</f>
        <v>#REF!</v>
      </c>
      <c r="R201" s="185">
        <f>0.00125*1*L201*($E$6+$F$6-2*5)*1000</f>
        <v>0</v>
      </c>
      <c r="S201" s="185" t="e">
        <f>J201*(($E$7+$F$7-2*$G$7)/($E$11+$F$11-2*$G$11))</f>
        <v>#REF!</v>
      </c>
      <c r="T201" s="185">
        <f>0.00125*1*L201*($E$7+$F$7-2*5)*1000</f>
        <v>0</v>
      </c>
      <c r="U201" s="185" t="e">
        <f>J201*(($E$8+$F$8-2*$G$8)/($E$11+$F$11-2*$G$11))</f>
        <v>#REF!</v>
      </c>
      <c r="V201" s="185">
        <f>0.00125*1*L201*($E$8+$F$8-2*5)*1000</f>
        <v>0</v>
      </c>
      <c r="W201" s="185" t="e">
        <f>J201*(($E$9+$F$9-2*$G$9)/($E$11+$F$11-2*$G$11))</f>
        <v>#REF!</v>
      </c>
      <c r="X201" s="185">
        <f>0.00125*1*L201*($E$9+$F$9-2*5)*1000</f>
        <v>0</v>
      </c>
      <c r="Y201" s="185" t="e">
        <f>J201*(($E$10+$F$10-2*$G$10)/($E$11+$F$11-2*$G$11))</f>
        <v>#REF!</v>
      </c>
      <c r="Z201" s="251">
        <f>0.00125*1*L201*($E$10+$F$10-2*5)*1000</f>
        <v>0</v>
      </c>
      <c r="AA201" s="252"/>
    </row>
    <row r="202" spans="1:27" s="238" customFormat="1" ht="16.5" hidden="1" thickBot="1" x14ac:dyDescent="0.25">
      <c r="A202" s="277">
        <v>57</v>
      </c>
      <c r="B202" s="266" t="s">
        <v>136</v>
      </c>
      <c r="C202" s="266">
        <v>0</v>
      </c>
      <c r="D202" s="266">
        <v>0</v>
      </c>
      <c r="E202" s="266">
        <v>19</v>
      </c>
      <c r="F202" s="266">
        <v>13</v>
      </c>
      <c r="G202" s="266">
        <f>SUM(E202:F202)</f>
        <v>32</v>
      </c>
      <c r="H202" s="266">
        <v>1.2</v>
      </c>
      <c r="I202" s="266">
        <v>1</v>
      </c>
      <c r="J202" s="266">
        <f>H202*C202*G202*I202</f>
        <v>0</v>
      </c>
      <c r="K202" s="266">
        <v>1.9630000000000001</v>
      </c>
      <c r="L202" s="266">
        <f>(C202+D202)*K202*0.001</f>
        <v>0</v>
      </c>
      <c r="M202" s="266" t="e">
        <f>J202*(($E$4+$F$4-2*$G$4)/($E$11+$F$11-2*$G$11))</f>
        <v>#REF!</v>
      </c>
      <c r="N202" s="298">
        <f>0.00125*1*L202*($E$4+$F$4-2*5)*1000</f>
        <v>0</v>
      </c>
      <c r="O202" s="299" t="e">
        <f>J202*(($E$5+$F$5-2*$G$5)/($E$11+$F$11-2*$G$11))</f>
        <v>#REF!</v>
      </c>
      <c r="P202" s="299">
        <f>0.00125*1*L202*($E$5+$F$5-2*5)*1000</f>
        <v>0</v>
      </c>
      <c r="Q202" s="299" t="e">
        <f>J202*(($E$6+$F$6-2*$G$6)/($E$11+$F$11-2*$G$11))</f>
        <v>#REF!</v>
      </c>
      <c r="R202" s="299">
        <f>0.00125*1*L202*($E$6+$F$6-2*5)*1000</f>
        <v>0</v>
      </c>
      <c r="S202" s="299" t="e">
        <f>J202*(($E$7+$F$7-2*$G$7)/($E$11+$F$11-2*$G$11))</f>
        <v>#REF!</v>
      </c>
      <c r="T202" s="299">
        <f>0.00125*1*L202*($E$7+$F$7-2*5)*1000</f>
        <v>0</v>
      </c>
      <c r="U202" s="299" t="e">
        <f>J202*(($E$8+$F$8-2*$G$8)/($E$11+$F$11-2*$G$11))</f>
        <v>#REF!</v>
      </c>
      <c r="V202" s="299">
        <f>0.00125*1*L202*($E$8+$F$8-2*5)*1000</f>
        <v>0</v>
      </c>
      <c r="W202" s="299" t="e">
        <f>J202*(($E$9+$F$9-2*$G$9)/($E$11+$F$11-2*$G$11))</f>
        <v>#REF!</v>
      </c>
      <c r="X202" s="299">
        <f>0.00125*1*L202*($E$9+$F$9-2*5)*1000</f>
        <v>0</v>
      </c>
      <c r="Y202" s="299" t="e">
        <f>J202*(($E$10+$F$10-2*$G$10)/($E$11+$F$11-2*$G$11))</f>
        <v>#REF!</v>
      </c>
      <c r="Z202" s="300">
        <f>0.00125*1*L202*($E$10+$F$10-2*5)*1000</f>
        <v>0</v>
      </c>
      <c r="AA202" s="268"/>
    </row>
    <row r="203" spans="1:27" s="238" customFormat="1" ht="15.75" hidden="1" x14ac:dyDescent="0.25">
      <c r="A203" s="301" t="s">
        <v>139</v>
      </c>
      <c r="B203" s="291"/>
      <c r="C203" s="302">
        <f>SUM(C200:C202)</f>
        <v>0</v>
      </c>
      <c r="D203" s="291">
        <f>SUM(D200:D202)</f>
        <v>0</v>
      </c>
      <c r="E203" s="291"/>
      <c r="F203" s="291"/>
      <c r="G203" s="291"/>
      <c r="H203" s="291"/>
      <c r="I203" s="291"/>
      <c r="J203" s="291"/>
      <c r="K203" s="291"/>
      <c r="L203" s="291"/>
      <c r="M203" s="303" t="e">
        <f t="shared" ref="M203:Z203" si="158">SUM(M200:M202)</f>
        <v>#REF!</v>
      </c>
      <c r="N203" s="303">
        <f t="shared" si="158"/>
        <v>0</v>
      </c>
      <c r="O203" s="304" t="e">
        <f t="shared" si="158"/>
        <v>#REF!</v>
      </c>
      <c r="P203" s="304">
        <f t="shared" si="158"/>
        <v>0</v>
      </c>
      <c r="Q203" s="304" t="e">
        <f t="shared" si="158"/>
        <v>#REF!</v>
      </c>
      <c r="R203" s="304">
        <f t="shared" si="158"/>
        <v>0</v>
      </c>
      <c r="S203" s="304" t="e">
        <f t="shared" si="158"/>
        <v>#REF!</v>
      </c>
      <c r="T203" s="304">
        <f t="shared" si="158"/>
        <v>0</v>
      </c>
      <c r="U203" s="304" t="e">
        <f t="shared" si="158"/>
        <v>#REF!</v>
      </c>
      <c r="V203" s="304">
        <f t="shared" si="158"/>
        <v>0</v>
      </c>
      <c r="W203" s="304" t="e">
        <f t="shared" si="158"/>
        <v>#REF!</v>
      </c>
      <c r="X203" s="304">
        <f t="shared" si="158"/>
        <v>0</v>
      </c>
      <c r="Y203" s="304" t="e">
        <f t="shared" si="158"/>
        <v>#REF!</v>
      </c>
      <c r="Z203" s="305">
        <f t="shared" si="158"/>
        <v>0</v>
      </c>
      <c r="AA203" s="275"/>
    </row>
    <row r="204" spans="1:27" s="238" customFormat="1" ht="16.5" hidden="1" thickBot="1" x14ac:dyDescent="0.3">
      <c r="A204" s="264"/>
      <c r="B204" s="265" t="s">
        <v>140</v>
      </c>
      <c r="C204" s="306">
        <v>0</v>
      </c>
      <c r="D204" s="265">
        <v>0</v>
      </c>
      <c r="E204" s="265"/>
      <c r="F204" s="265"/>
      <c r="G204" s="265"/>
      <c r="H204" s="265"/>
      <c r="I204" s="265"/>
      <c r="J204" s="265"/>
      <c r="K204" s="265"/>
      <c r="L204" s="265"/>
      <c r="M204" s="265"/>
      <c r="N204" s="307" t="e">
        <f>ROUND(((M203+N203)*31*24*0.000001),2)</f>
        <v>#REF!</v>
      </c>
      <c r="O204" s="281"/>
      <c r="P204" s="281" t="e">
        <f>ROUND(((O203+P203)*28*24*0.000001),2)</f>
        <v>#REF!</v>
      </c>
      <c r="Q204" s="281"/>
      <c r="R204" s="281" t="e">
        <f>ROUND(((Q203+R203)*31*24*0.000001),2)</f>
        <v>#REF!</v>
      </c>
      <c r="S204" s="281"/>
      <c r="T204" s="281" t="e">
        <f>ROUND(((S203+T203)*13*24*0.000001),2)</f>
        <v>#REF!</v>
      </c>
      <c r="U204" s="281"/>
      <c r="V204" s="281" t="e">
        <f>ROUND(((U203+V203)*17*24*0.000001),2)</f>
        <v>#REF!</v>
      </c>
      <c r="W204" s="281"/>
      <c r="X204" s="281" t="e">
        <f>ROUND(((W203+X203)*30*24*0.000001),2)</f>
        <v>#REF!</v>
      </c>
      <c r="Y204" s="281"/>
      <c r="Z204" s="282" t="e">
        <f>ROUND(((Y203+Z203)*31*24*0.000001),2)</f>
        <v>#REF!</v>
      </c>
      <c r="AA204" s="268" t="e">
        <f>N204+P204+R204+T204+V204+X204+Z204</f>
        <v>#REF!</v>
      </c>
    </row>
    <row r="205" spans="1:27" s="238" customFormat="1" ht="16.5" hidden="1" thickBot="1" x14ac:dyDescent="0.25">
      <c r="A205" s="294"/>
      <c r="B205" s="294"/>
      <c r="C205" s="294"/>
      <c r="D205" s="294"/>
      <c r="E205" s="294"/>
      <c r="F205" s="294"/>
      <c r="G205" s="294"/>
      <c r="H205" s="294"/>
      <c r="I205" s="294"/>
      <c r="J205" s="294"/>
      <c r="K205" s="294"/>
      <c r="L205" s="294"/>
      <c r="M205" s="294"/>
      <c r="N205" s="295"/>
      <c r="O205" s="294"/>
      <c r="P205" s="294"/>
      <c r="Q205" s="294"/>
      <c r="R205" s="294"/>
      <c r="S205" s="294"/>
      <c r="T205" s="294"/>
      <c r="U205" s="294"/>
      <c r="V205" s="294"/>
      <c r="W205" s="294"/>
      <c r="X205" s="294"/>
      <c r="Y205" s="294"/>
      <c r="Z205" s="295"/>
      <c r="AA205" s="290" t="s">
        <v>165</v>
      </c>
    </row>
    <row r="206" spans="1:27" s="238" customFormat="1" ht="15.75" hidden="1" x14ac:dyDescent="0.2">
      <c r="A206" s="516" t="s">
        <v>170</v>
      </c>
      <c r="B206" s="519"/>
      <c r="C206" s="519"/>
      <c r="D206" s="519"/>
      <c r="E206" s="519"/>
      <c r="F206" s="520"/>
      <c r="G206" s="177"/>
      <c r="H206" s="177"/>
      <c r="I206" s="177"/>
      <c r="J206" s="177"/>
      <c r="K206" s="177"/>
      <c r="L206" s="177"/>
      <c r="M206" s="177"/>
      <c r="N206" s="177"/>
      <c r="O206" s="177"/>
      <c r="P206" s="177"/>
      <c r="Q206" s="177"/>
      <c r="R206" s="177"/>
      <c r="S206" s="177"/>
      <c r="T206" s="177"/>
      <c r="U206" s="177"/>
      <c r="V206" s="177"/>
      <c r="W206" s="177"/>
      <c r="X206" s="177"/>
      <c r="Y206" s="177"/>
      <c r="Z206" s="250"/>
      <c r="AA206" s="252"/>
    </row>
    <row r="207" spans="1:27" s="238" customFormat="1" ht="15.75" hidden="1" x14ac:dyDescent="0.2">
      <c r="A207" s="177">
        <v>57</v>
      </c>
      <c r="B207" s="177" t="s">
        <v>137</v>
      </c>
      <c r="C207" s="177"/>
      <c r="D207" s="177"/>
      <c r="E207" s="177">
        <v>38</v>
      </c>
      <c r="F207" s="177">
        <v>29</v>
      </c>
      <c r="G207" s="177">
        <f>SUM(E207:F207)</f>
        <v>67</v>
      </c>
      <c r="H207" s="177">
        <v>1.1499999999999999</v>
      </c>
      <c r="I207" s="177">
        <v>0.6</v>
      </c>
      <c r="J207" s="177">
        <f>H207*C207*G207*I207</f>
        <v>0</v>
      </c>
      <c r="K207" s="177">
        <v>1.9630000000000001</v>
      </c>
      <c r="L207" s="177">
        <f>(C207+D207)*K207*0.001</f>
        <v>0</v>
      </c>
      <c r="M207" s="177" t="e">
        <f>J207*(($E$4+$F$4-2*$G$4)/($E$11+$F$11-2*$G$11))</f>
        <v>#REF!</v>
      </c>
      <c r="N207" s="250">
        <f>0.00125*1*L207*($E$4+$F$4-2*5)*1000</f>
        <v>0</v>
      </c>
      <c r="O207" s="185" t="e">
        <f>J207*(($E$5+$F$5-2*$G$5)/($E$11+$F$11-2*$G$11))</f>
        <v>#REF!</v>
      </c>
      <c r="P207" s="185">
        <f>0.00125*1*L207*($E$5+$F$5-2*5)*1000</f>
        <v>0</v>
      </c>
      <c r="Q207" s="185" t="e">
        <f>J207*(($E$6+$F$6-2*$G$6)/($E$11+$F$11-2*$G$11))</f>
        <v>#REF!</v>
      </c>
      <c r="R207" s="185">
        <f>0.00125*1*L207*($E$6+$F$6-2*5)*1000</f>
        <v>0</v>
      </c>
      <c r="S207" s="185" t="e">
        <f>J207*(($E$7+$F$7-2*$G$7)/($E$11+$F$11-2*$G$11))</f>
        <v>#REF!</v>
      </c>
      <c r="T207" s="185">
        <f>0.00125*1*L207*($E$7+$F$7-2*5)*1000</f>
        <v>0</v>
      </c>
      <c r="U207" s="185" t="e">
        <f>J207*(($E$8+$F$8-2*$G$8)/($E$11+$F$11-2*$G$11))</f>
        <v>#REF!</v>
      </c>
      <c r="V207" s="185">
        <f>0.00125*1*L207*($E$8+$F$8-2*5)*1000</f>
        <v>0</v>
      </c>
      <c r="W207" s="185" t="e">
        <f>J207*(($E$9+$F$9-2*$G$9)/($E$11+$F$11-2*$G$11))</f>
        <v>#REF!</v>
      </c>
      <c r="X207" s="185">
        <f>0.00125*1*L207*($E$9+$F$9-2*5)*1000</f>
        <v>0</v>
      </c>
      <c r="Y207" s="185" t="e">
        <f>J207*(($E$10+$F$10-2*$G$10)/($E$11+$F$11-2*$G$11))</f>
        <v>#REF!</v>
      </c>
      <c r="Z207" s="251">
        <f>0.00125*1*L207*($E$10+$F$10-2*5)*1000</f>
        <v>0</v>
      </c>
      <c r="AA207" s="252"/>
    </row>
    <row r="208" spans="1:27" s="238" customFormat="1" ht="16.5" hidden="1" thickBot="1" x14ac:dyDescent="0.3">
      <c r="A208" s="516"/>
      <c r="B208" s="519"/>
      <c r="C208" s="519"/>
      <c r="D208" s="519"/>
      <c r="E208" s="519"/>
      <c r="F208" s="520"/>
      <c r="G208" s="177"/>
      <c r="H208" s="177"/>
      <c r="I208" s="177"/>
      <c r="J208" s="177"/>
      <c r="K208" s="177"/>
      <c r="L208" s="177"/>
      <c r="M208" s="177"/>
      <c r="N208" s="267" t="e">
        <f>ROUND(((M207+N207)*31*24*0.000001),2)</f>
        <v>#REF!</v>
      </c>
      <c r="O208" s="281"/>
      <c r="P208" s="281" t="e">
        <f>ROUND(((O207+P207)*28*24*0.000001),2)</f>
        <v>#REF!</v>
      </c>
      <c r="Q208" s="281"/>
      <c r="R208" s="281" t="e">
        <f>ROUND(((Q207+R207)*31*24*0.000001),2)</f>
        <v>#REF!</v>
      </c>
      <c r="S208" s="281"/>
      <c r="T208" s="281" t="e">
        <f>ROUND(((S207+T207)*14*24*0.000001),2)</f>
        <v>#REF!</v>
      </c>
      <c r="U208" s="281"/>
      <c r="V208" s="281" t="e">
        <f>ROUND(((U207+V207)*21*24*0.000001),2)</f>
        <v>#REF!</v>
      </c>
      <c r="W208" s="281"/>
      <c r="X208" s="281" t="e">
        <f>ROUND(((W207+X207)*30*24*0.000001),2)</f>
        <v>#REF!</v>
      </c>
      <c r="Y208" s="281"/>
      <c r="Z208" s="282" t="e">
        <f>ROUND(((Y207+Z207)*31*24*0.000001),2)</f>
        <v>#REF!</v>
      </c>
      <c r="AA208" s="268" t="e">
        <f>N208+P208+R208+T208+V208+X208+Z208</f>
        <v>#REF!</v>
      </c>
    </row>
    <row r="209" spans="1:27" s="238" customFormat="1" ht="15.75" hidden="1" x14ac:dyDescent="0.25">
      <c r="A209" s="516" t="s">
        <v>175</v>
      </c>
      <c r="B209" s="519"/>
      <c r="C209" s="519"/>
      <c r="D209" s="519"/>
      <c r="E209" s="519"/>
      <c r="F209" s="520"/>
      <c r="G209" s="177"/>
      <c r="H209" s="177"/>
      <c r="I209" s="177"/>
      <c r="J209" s="177"/>
      <c r="K209" s="177"/>
      <c r="L209" s="177"/>
      <c r="M209" s="177"/>
      <c r="N209" s="308"/>
      <c r="O209" s="309"/>
      <c r="P209" s="309"/>
      <c r="Q209" s="309"/>
      <c r="R209" s="309"/>
      <c r="S209" s="309"/>
      <c r="T209" s="309"/>
      <c r="U209" s="309"/>
      <c r="V209" s="309"/>
      <c r="W209" s="309"/>
      <c r="X209" s="309"/>
      <c r="Y209" s="309"/>
      <c r="Z209" s="310"/>
      <c r="AA209" s="254"/>
    </row>
    <row r="210" spans="1:27" s="238" customFormat="1" ht="15.75" hidden="1" x14ac:dyDescent="0.2">
      <c r="A210" s="177">
        <v>108</v>
      </c>
      <c r="B210" s="177" t="s">
        <v>137</v>
      </c>
      <c r="C210" s="177"/>
      <c r="D210" s="177"/>
      <c r="E210" s="177">
        <v>47</v>
      </c>
      <c r="F210" s="177">
        <v>36</v>
      </c>
      <c r="G210" s="177">
        <f>SUM(E210:F210)</f>
        <v>83</v>
      </c>
      <c r="H210" s="177">
        <v>1.1499999999999999</v>
      </c>
      <c r="I210" s="177">
        <v>0.6</v>
      </c>
      <c r="J210" s="177">
        <f>H210*C210*G210*I210</f>
        <v>0</v>
      </c>
      <c r="K210" s="177">
        <v>7.8540000000000001</v>
      </c>
      <c r="L210" s="177">
        <f>(C210+D210)*K210*0.001</f>
        <v>0</v>
      </c>
      <c r="M210" s="177" t="e">
        <f>J210*(($E$4+$F$4-2*$G$4)/($E$11+$F$11-2*$G$11))</f>
        <v>#REF!</v>
      </c>
      <c r="N210" s="250">
        <f>0.00125*1*L210*($E$4+$F$4-2*5)*1000</f>
        <v>0</v>
      </c>
      <c r="O210" s="185" t="e">
        <f>J210*(($E$5+$F$5-2*$G$5)/($E$11+$F$11-2*$G$11))</f>
        <v>#REF!</v>
      </c>
      <c r="P210" s="185">
        <f>0.00125*1*L210*($E$5+$F$5-2*5)*1000</f>
        <v>0</v>
      </c>
      <c r="Q210" s="185" t="e">
        <f>J210*(($E$6+$F$6-2*$G$6)/($E$11+$F$11-2*$G$11))</f>
        <v>#REF!</v>
      </c>
      <c r="R210" s="185">
        <f>0.00125*1*L210*($E$6+$F$6-2*5)*1000</f>
        <v>0</v>
      </c>
      <c r="S210" s="185" t="e">
        <f>J210*(($E$7+$F$7-2*$G$7)/($E$11+$F$11-2*$G$11))</f>
        <v>#REF!</v>
      </c>
      <c r="T210" s="185">
        <f>0.00125*1*L210*($E$7+$F$7-2*5)*1000</f>
        <v>0</v>
      </c>
      <c r="U210" s="185" t="e">
        <f>J210*(($E$8+$F$8-2*$G$8)/($E$11+$F$11-2*$G$11))</f>
        <v>#REF!</v>
      </c>
      <c r="V210" s="185">
        <f>0.00125*1*L210*($E$8+$F$8-2*5)*1000</f>
        <v>0</v>
      </c>
      <c r="W210" s="185" t="e">
        <f>J210*(($E$9+$F$9-2*$G$9)/($E$11+$F$11-2*$G$11))</f>
        <v>#REF!</v>
      </c>
      <c r="X210" s="185">
        <f>0.00125*1*L210*($E$9+$F$9-2*5)*1000</f>
        <v>0</v>
      </c>
      <c r="Y210" s="185" t="e">
        <f>J210*(($E$10+$F$10-2*$G$10)/($E$11+$F$11-2*$G$11))</f>
        <v>#REF!</v>
      </c>
      <c r="Z210" s="251">
        <f>0.00125*1*L210*($E$10+$F$10-2*5)*1000</f>
        <v>0</v>
      </c>
      <c r="AA210" s="252"/>
    </row>
    <row r="211" spans="1:27" s="238" customFormat="1" ht="16.5" hidden="1" thickBot="1" x14ac:dyDescent="0.3">
      <c r="A211" s="516"/>
      <c r="B211" s="519"/>
      <c r="C211" s="519"/>
      <c r="D211" s="519"/>
      <c r="E211" s="519"/>
      <c r="F211" s="520"/>
      <c r="G211" s="177"/>
      <c r="H211" s="177"/>
      <c r="I211" s="177"/>
      <c r="J211" s="177"/>
      <c r="K211" s="177"/>
      <c r="L211" s="177"/>
      <c r="M211" s="177"/>
      <c r="N211" s="267" t="e">
        <f>ROUND(((M210+N210)*31*24*0.000001),2)</f>
        <v>#REF!</v>
      </c>
      <c r="O211" s="281"/>
      <c r="P211" s="281" t="e">
        <f>ROUND(((O210+P210)*28*24*0.000001),2)</f>
        <v>#REF!</v>
      </c>
      <c r="Q211" s="281"/>
      <c r="R211" s="281" t="e">
        <f>ROUND(((Q210+R210)*31*24*0.000001),2)</f>
        <v>#REF!</v>
      </c>
      <c r="S211" s="281"/>
      <c r="T211" s="281" t="e">
        <f>ROUND(((S210+T210)*14*24*0.000001),2)</f>
        <v>#REF!</v>
      </c>
      <c r="U211" s="281"/>
      <c r="V211" s="281" t="e">
        <f>ROUND(((U210+V210)*21*24*0.000001),2)</f>
        <v>#REF!</v>
      </c>
      <c r="W211" s="281"/>
      <c r="X211" s="281" t="e">
        <f>ROUND(((W210+X210)*30*24*0.000001),2)</f>
        <v>#REF!</v>
      </c>
      <c r="Y211" s="281"/>
      <c r="Z211" s="282" t="e">
        <f>ROUND(((Y210+Z210)*31*24*0.000001),2)</f>
        <v>#REF!</v>
      </c>
      <c r="AA211" s="268" t="e">
        <f>N211+P211+R211+T211+V211+X211+Z211</f>
        <v>#REF!</v>
      </c>
    </row>
    <row r="212" spans="1:27" s="238" customFormat="1" ht="15.75" hidden="1" x14ac:dyDescent="0.25">
      <c r="A212" s="516" t="s">
        <v>167</v>
      </c>
      <c r="B212" s="519"/>
      <c r="C212" s="519"/>
      <c r="D212" s="519"/>
      <c r="E212" s="519"/>
      <c r="F212" s="520"/>
      <c r="G212" s="177"/>
      <c r="H212" s="177"/>
      <c r="I212" s="177"/>
      <c r="J212" s="177"/>
      <c r="K212" s="253"/>
      <c r="L212" s="177"/>
      <c r="M212" s="177"/>
      <c r="N212" s="308"/>
      <c r="O212" s="309"/>
      <c r="P212" s="309"/>
      <c r="Q212" s="309"/>
      <c r="R212" s="309"/>
      <c r="S212" s="309"/>
      <c r="T212" s="309"/>
      <c r="U212" s="309"/>
      <c r="V212" s="309"/>
      <c r="W212" s="309"/>
      <c r="X212" s="309"/>
      <c r="Y212" s="309"/>
      <c r="Z212" s="310"/>
      <c r="AA212" s="254"/>
    </row>
    <row r="213" spans="1:27" s="238" customFormat="1" ht="15.75" hidden="1" x14ac:dyDescent="0.2">
      <c r="A213" s="177">
        <v>89</v>
      </c>
      <c r="B213" s="177" t="s">
        <v>137</v>
      </c>
      <c r="C213" s="177"/>
      <c r="D213" s="177"/>
      <c r="E213" s="177">
        <v>44</v>
      </c>
      <c r="F213" s="177">
        <v>34</v>
      </c>
      <c r="G213" s="177">
        <f>SUM(E213:F213)</f>
        <v>78</v>
      </c>
      <c r="H213" s="177">
        <v>1.1499999999999999</v>
      </c>
      <c r="I213" s="177">
        <v>0.6</v>
      </c>
      <c r="J213" s="177">
        <f>H213*C213*G213*I213</f>
        <v>0</v>
      </c>
      <c r="K213" s="253">
        <v>5.1529999999999996</v>
      </c>
      <c r="L213" s="177">
        <f>(C213+D213)*K213*0.001</f>
        <v>0</v>
      </c>
      <c r="M213" s="177" t="e">
        <f>J213*(($E$4+$F$4-2*$G$4)/($E$11+$F$11-2*$G$11))</f>
        <v>#REF!</v>
      </c>
      <c r="N213" s="250">
        <f>0.00125*1*L213*($E$4+$F$4-2*5)*1000</f>
        <v>0</v>
      </c>
      <c r="O213" s="185" t="e">
        <f>J213*(($E$5+$F$5-2*$G$5)/($E$11+$F$11-2*$G$11))</f>
        <v>#REF!</v>
      </c>
      <c r="P213" s="185">
        <f>0.00125*1*L213*($E$5+$F$5-2*5)*1000</f>
        <v>0</v>
      </c>
      <c r="Q213" s="185" t="e">
        <f>J213*(($E$6+$F$6-2*$G$6)/($E$11+$F$11-2*$G$11))</f>
        <v>#REF!</v>
      </c>
      <c r="R213" s="185">
        <f>0.00125*1*L213*($E$6+$F$6-2*5)*1000</f>
        <v>0</v>
      </c>
      <c r="S213" s="185" t="e">
        <f>J213*(($E$7+$F$7-2*$G$7)/($E$11+$F$11-2*$G$11))</f>
        <v>#REF!</v>
      </c>
      <c r="T213" s="185">
        <f>0.00125*1*L213*($E$7+$F$7-2*5)*1000</f>
        <v>0</v>
      </c>
      <c r="U213" s="185" t="e">
        <f>J213*(($E$8+$F$8-2*$G$8)/($E$11+$F$11-2*$G$11))</f>
        <v>#REF!</v>
      </c>
      <c r="V213" s="185">
        <f>0.00125*1*L213*($E$8+$F$8-2*5)*1000</f>
        <v>0</v>
      </c>
      <c r="W213" s="185" t="e">
        <f>J213*(($E$9+$F$9-2*$G$9)/($E$11+$F$11-2*$G$11))</f>
        <v>#REF!</v>
      </c>
      <c r="X213" s="185">
        <f>0.00125*1*L213*($E$9+$F$9-2*5)*1000</f>
        <v>0</v>
      </c>
      <c r="Y213" s="185" t="e">
        <f>J213*(($E$10+$F$10-2*$G$10)/($E$11+$F$11-2*$G$11))</f>
        <v>#REF!</v>
      </c>
      <c r="Z213" s="251">
        <f>0.00125*1*L213*($E$10+$F$10-2*5)*1000</f>
        <v>0</v>
      </c>
      <c r="AA213" s="252"/>
    </row>
    <row r="214" spans="1:27" s="238" customFormat="1" ht="16.5" hidden="1" thickBot="1" x14ac:dyDescent="0.3">
      <c r="A214" s="516"/>
      <c r="B214" s="517"/>
      <c r="C214" s="517"/>
      <c r="D214" s="517"/>
      <c r="E214" s="517"/>
      <c r="F214" s="518"/>
      <c r="G214" s="177"/>
      <c r="H214" s="177"/>
      <c r="I214" s="177"/>
      <c r="J214" s="177"/>
      <c r="K214" s="177"/>
      <c r="L214" s="177"/>
      <c r="M214" s="177"/>
      <c r="N214" s="267" t="e">
        <f>ROUND(((M213+N213)*31*24*0.000001),2)</f>
        <v>#REF!</v>
      </c>
      <c r="O214" s="281"/>
      <c r="P214" s="281" t="e">
        <f>ROUND(((O213+P213)*28*24*0.000001),2)</f>
        <v>#REF!</v>
      </c>
      <c r="Q214" s="281"/>
      <c r="R214" s="281" t="e">
        <f>ROUND(((Q213+R213)*31*24*0.000001),2)</f>
        <v>#REF!</v>
      </c>
      <c r="S214" s="281"/>
      <c r="T214" s="281" t="e">
        <f>ROUND(((S213+T213)*14*24*0.000001),2)</f>
        <v>#REF!</v>
      </c>
      <c r="U214" s="281"/>
      <c r="V214" s="281" t="e">
        <f>ROUND(((U213+V213)*21*24*0.000001),2)</f>
        <v>#REF!</v>
      </c>
      <c r="W214" s="281"/>
      <c r="X214" s="281" t="e">
        <f>ROUND(((W213+X213)*30*24*0.000001),2)</f>
        <v>#REF!</v>
      </c>
      <c r="Y214" s="281"/>
      <c r="Z214" s="282" t="e">
        <f>ROUND(((Y213+Z213)*31*24*0.000001),2)</f>
        <v>#REF!</v>
      </c>
      <c r="AA214" s="268" t="e">
        <f>N214+P214+R214+T214+V214+X214+Z214</f>
        <v>#REF!</v>
      </c>
    </row>
    <row r="215" spans="1:27" s="238" customFormat="1" ht="15.75" hidden="1" x14ac:dyDescent="0.25">
      <c r="A215" s="516" t="s">
        <v>168</v>
      </c>
      <c r="B215" s="517"/>
      <c r="C215" s="517"/>
      <c r="D215" s="517"/>
      <c r="E215" s="517"/>
      <c r="F215" s="518"/>
      <c r="G215" s="177"/>
      <c r="H215" s="177"/>
      <c r="I215" s="177"/>
      <c r="J215" s="177"/>
      <c r="K215" s="177"/>
      <c r="L215" s="177"/>
      <c r="M215" s="177"/>
      <c r="N215" s="308"/>
      <c r="O215" s="309"/>
      <c r="P215" s="309"/>
      <c r="Q215" s="309"/>
      <c r="R215" s="309"/>
      <c r="S215" s="309"/>
      <c r="T215" s="309"/>
      <c r="U215" s="309"/>
      <c r="V215" s="309"/>
      <c r="W215" s="309"/>
      <c r="X215" s="309"/>
      <c r="Y215" s="309"/>
      <c r="Z215" s="310"/>
      <c r="AA215" s="254"/>
    </row>
    <row r="216" spans="1:27" s="238" customFormat="1" ht="15.75" hidden="1" x14ac:dyDescent="0.2">
      <c r="A216" s="177">
        <v>57</v>
      </c>
      <c r="B216" s="177" t="s">
        <v>137</v>
      </c>
      <c r="C216" s="177"/>
      <c r="D216" s="177"/>
      <c r="E216" s="177">
        <v>38</v>
      </c>
      <c r="F216" s="177">
        <v>29</v>
      </c>
      <c r="G216" s="177">
        <f>SUM(E216:F216)</f>
        <v>67</v>
      </c>
      <c r="H216" s="177">
        <v>1.1499999999999999</v>
      </c>
      <c r="I216" s="177">
        <v>0.6</v>
      </c>
      <c r="J216" s="177">
        <f>H216*C216*G216*I216</f>
        <v>0</v>
      </c>
      <c r="K216" s="177">
        <v>1.9630000000000001</v>
      </c>
      <c r="L216" s="177">
        <f>(C216+D216)*K216*0.001</f>
        <v>0</v>
      </c>
      <c r="M216" s="177" t="e">
        <f>J216*(($E$4+$F$4-2*$G$4)/($E$11+$F$11-2*$G$11))</f>
        <v>#REF!</v>
      </c>
      <c r="N216" s="250">
        <f>0.00125*1*L216*($E$4+$F$4-2*5)*1000</f>
        <v>0</v>
      </c>
      <c r="O216" s="185" t="e">
        <f>J216*(($E$5+$F$5-2*$G$5)/($E$11+$F$11-2*$G$11))</f>
        <v>#REF!</v>
      </c>
      <c r="P216" s="185">
        <f>0.00125*1*L216*($E$5+$F$5-2*5)*1000</f>
        <v>0</v>
      </c>
      <c r="Q216" s="185" t="e">
        <f>J216*(($E$6+$F$6-2*$G$6)/($E$11+$F$11-2*$G$11))</f>
        <v>#REF!</v>
      </c>
      <c r="R216" s="185">
        <f>0.00125*1*L216*($E$6+$F$6-2*5)*1000</f>
        <v>0</v>
      </c>
      <c r="S216" s="185" t="e">
        <f>J216*(($E$7+$F$7-2*$G$7)/($E$11+$F$11-2*$G$11))</f>
        <v>#REF!</v>
      </c>
      <c r="T216" s="185">
        <f>0.00125*1*L216*($E$7+$F$7-2*5)*1000</f>
        <v>0</v>
      </c>
      <c r="U216" s="185" t="e">
        <f>J216*(($E$8+$F$8-2*$G$8)/($E$11+$F$11-2*$G$11))</f>
        <v>#REF!</v>
      </c>
      <c r="V216" s="185">
        <f>0.00125*1*L216*($E$8+$F$8-2*5)*1000</f>
        <v>0</v>
      </c>
      <c r="W216" s="185" t="e">
        <f>J216*(($E$9+$F$9-2*$G$9)/($E$11+$F$11-2*$G$11))</f>
        <v>#REF!</v>
      </c>
      <c r="X216" s="185">
        <f>0.00125*1*L216*($E$9+$F$9-2*5)*1000</f>
        <v>0</v>
      </c>
      <c r="Y216" s="185" t="e">
        <f>J216*(($E$10+$F$10-2*$G$10)/($E$11+$F$11-2*$G$11))</f>
        <v>#REF!</v>
      </c>
      <c r="Z216" s="251">
        <f>0.00125*1*L216*($E$10+$F$10-2*5)*1000</f>
        <v>0</v>
      </c>
      <c r="AA216" s="252"/>
    </row>
    <row r="217" spans="1:27" s="238" customFormat="1" ht="16.5" hidden="1" thickBot="1" x14ac:dyDescent="0.3">
      <c r="A217" s="516"/>
      <c r="B217" s="517"/>
      <c r="C217" s="517"/>
      <c r="D217" s="517"/>
      <c r="E217" s="517"/>
      <c r="F217" s="518"/>
      <c r="G217" s="177"/>
      <c r="H217" s="177"/>
      <c r="I217" s="177"/>
      <c r="J217" s="177"/>
      <c r="K217" s="177"/>
      <c r="L217" s="177"/>
      <c r="M217" s="177"/>
      <c r="N217" s="267" t="e">
        <f>ROUND(((M216+N216)*31*24*0.000001),2)</f>
        <v>#REF!</v>
      </c>
      <c r="O217" s="281"/>
      <c r="P217" s="281" t="e">
        <f>ROUND(((O216+P216)*28*24*0.000001),2)</f>
        <v>#REF!</v>
      </c>
      <c r="Q217" s="281"/>
      <c r="R217" s="281" t="e">
        <f>ROUND(((Q216+R216)*31*24*0.000001),2)</f>
        <v>#REF!</v>
      </c>
      <c r="S217" s="281"/>
      <c r="T217" s="281" t="e">
        <f>ROUND(((S216+T216)*14*24*0.000001),2)</f>
        <v>#REF!</v>
      </c>
      <c r="U217" s="281"/>
      <c r="V217" s="281" t="e">
        <f>ROUND(((U216+V216)*21*24*0.000001),2)</f>
        <v>#REF!</v>
      </c>
      <c r="W217" s="281"/>
      <c r="X217" s="281" t="e">
        <f>ROUND(((W216+X216)*30*24*0.000001),2)</f>
        <v>#REF!</v>
      </c>
      <c r="Y217" s="281"/>
      <c r="Z217" s="282" t="e">
        <f>ROUND(((Y216+Z216)*31*24*0.000001),2)</f>
        <v>#REF!</v>
      </c>
      <c r="AA217" s="268" t="e">
        <f>N217+P217+R217+T217+V217+X217+Z217</f>
        <v>#REF!</v>
      </c>
    </row>
    <row r="218" spans="1:27" s="238" customFormat="1" ht="15.75" hidden="1" x14ac:dyDescent="0.25">
      <c r="A218" s="516" t="s">
        <v>173</v>
      </c>
      <c r="B218" s="517"/>
      <c r="C218" s="517"/>
      <c r="D218" s="517"/>
      <c r="E218" s="517"/>
      <c r="F218" s="518"/>
      <c r="G218" s="177"/>
      <c r="H218" s="177"/>
      <c r="I218" s="177"/>
      <c r="J218" s="177"/>
      <c r="K218" s="253"/>
      <c r="L218" s="177"/>
      <c r="M218" s="177"/>
      <c r="N218" s="308"/>
      <c r="O218" s="309"/>
      <c r="P218" s="309"/>
      <c r="Q218" s="309"/>
      <c r="R218" s="309"/>
      <c r="S218" s="309"/>
      <c r="T218" s="309"/>
      <c r="U218" s="309"/>
      <c r="V218" s="309"/>
      <c r="W218" s="309"/>
      <c r="X218" s="309"/>
      <c r="Y218" s="309"/>
      <c r="Z218" s="310"/>
      <c r="AA218" s="254"/>
    </row>
    <row r="219" spans="1:27" s="238" customFormat="1" ht="15.75" hidden="1" x14ac:dyDescent="0.2">
      <c r="A219" s="177">
        <v>89</v>
      </c>
      <c r="B219" s="177" t="s">
        <v>137</v>
      </c>
      <c r="C219" s="177"/>
      <c r="D219" s="177"/>
      <c r="E219" s="177">
        <v>44</v>
      </c>
      <c r="F219" s="177">
        <v>34</v>
      </c>
      <c r="G219" s="177">
        <f>SUM(E219:F219)</f>
        <v>78</v>
      </c>
      <c r="H219" s="177">
        <v>1.1499999999999999</v>
      </c>
      <c r="I219" s="177">
        <v>0.6</v>
      </c>
      <c r="J219" s="177">
        <f>H219*C219*G219*I219</f>
        <v>0</v>
      </c>
      <c r="K219" s="253">
        <v>5.1529999999999996</v>
      </c>
      <c r="L219" s="177">
        <f>(C219+D219)*K219*0.001</f>
        <v>0</v>
      </c>
      <c r="M219" s="177" t="e">
        <f>J219*(($E$4+$F$4-2*$G$4)/($E$11+$F$11-2*$G$11))</f>
        <v>#REF!</v>
      </c>
      <c r="N219" s="250">
        <f>0.00125*1*L219*($E$4+$F$4-2*5)*1000</f>
        <v>0</v>
      </c>
      <c r="O219" s="185" t="e">
        <f>J219*(($E$5+$F$5-2*$G$5)/($E$11+$F$11-2*$G$11))</f>
        <v>#REF!</v>
      </c>
      <c r="P219" s="185">
        <f>0.00125*1*L219*($E$5+$F$5-2*5)*1000</f>
        <v>0</v>
      </c>
      <c r="Q219" s="185" t="e">
        <f>J219*(($E$6+$F$6-2*$G$6)/($E$11+$F$11-2*$G$11))</f>
        <v>#REF!</v>
      </c>
      <c r="R219" s="185">
        <f>0.00125*1*L219*($E$6+$F$6-2*5)*1000</f>
        <v>0</v>
      </c>
      <c r="S219" s="185" t="e">
        <f>J219*(($E$7+$F$7-2*$G$7)/($E$11+$F$11-2*$G$11))</f>
        <v>#REF!</v>
      </c>
      <c r="T219" s="185">
        <f>0.00125*1*L219*($E$7+$F$7-2*5)*1000</f>
        <v>0</v>
      </c>
      <c r="U219" s="185" t="e">
        <f>J219*(($E$8+$F$8-2*$G$8)/($E$11+$F$11-2*$G$11))</f>
        <v>#REF!</v>
      </c>
      <c r="V219" s="185">
        <f>0.00125*1*L219*($E$8+$F$8-2*5)*1000</f>
        <v>0</v>
      </c>
      <c r="W219" s="185" t="e">
        <f>J219*(($E$9+$F$9-2*$G$9)/($E$11+$F$11-2*$G$11))</f>
        <v>#REF!</v>
      </c>
      <c r="X219" s="185">
        <f>0.00125*1*L219*($E$9+$F$9-2*5)*1000</f>
        <v>0</v>
      </c>
      <c r="Y219" s="185" t="e">
        <f>J219*(($E$10+$F$10-2*$G$10)/($E$11+$F$11-2*$G$11))</f>
        <v>#REF!</v>
      </c>
      <c r="Z219" s="251">
        <f>0.00125*1*L219*($E$10+$F$10-2*5)*1000</f>
        <v>0</v>
      </c>
      <c r="AA219" s="252"/>
    </row>
    <row r="220" spans="1:27" s="238" customFormat="1" ht="16.5" hidden="1" thickBot="1" x14ac:dyDescent="0.3">
      <c r="A220" s="516"/>
      <c r="B220" s="517"/>
      <c r="C220" s="517"/>
      <c r="D220" s="517"/>
      <c r="E220" s="517"/>
      <c r="F220" s="518"/>
      <c r="G220" s="177"/>
      <c r="H220" s="177"/>
      <c r="I220" s="177"/>
      <c r="J220" s="177"/>
      <c r="K220" s="177"/>
      <c r="L220" s="177"/>
      <c r="M220" s="177"/>
      <c r="N220" s="267" t="e">
        <f>ROUND(((M219+N219)*31*24*0.000001),2)</f>
        <v>#REF!</v>
      </c>
      <c r="O220" s="281"/>
      <c r="P220" s="281" t="e">
        <f>ROUND(((O219+P219)*28*24*0.000001),2)</f>
        <v>#REF!</v>
      </c>
      <c r="Q220" s="281"/>
      <c r="R220" s="281" t="e">
        <f>ROUND(((Q219+R219)*31*24*0.000001),2)</f>
        <v>#REF!</v>
      </c>
      <c r="S220" s="281"/>
      <c r="T220" s="281" t="e">
        <f>ROUND(((S219+T219)*14*24*0.000001),2)</f>
        <v>#REF!</v>
      </c>
      <c r="U220" s="281"/>
      <c r="V220" s="281" t="e">
        <f>ROUND(((U219+V219)*21*24*0.000001),2)</f>
        <v>#REF!</v>
      </c>
      <c r="W220" s="281"/>
      <c r="X220" s="281" t="e">
        <f>ROUND(((W219+X219)*30*24*0.000001),2)</f>
        <v>#REF!</v>
      </c>
      <c r="Y220" s="281"/>
      <c r="Z220" s="282" t="e">
        <f>ROUND(((Y219+Z219)*31*24*0.000001),2)</f>
        <v>#REF!</v>
      </c>
      <c r="AA220" s="268" t="e">
        <f>N220+P220+R220+T220+V220+X220+Z220</f>
        <v>#REF!</v>
      </c>
    </row>
    <row r="221" spans="1:27" s="238" customFormat="1" ht="15.75" hidden="1" x14ac:dyDescent="0.25">
      <c r="A221" s="516" t="s">
        <v>171</v>
      </c>
      <c r="B221" s="517"/>
      <c r="C221" s="517"/>
      <c r="D221" s="517"/>
      <c r="E221" s="517"/>
      <c r="F221" s="518"/>
      <c r="G221" s="177"/>
      <c r="H221" s="177"/>
      <c r="I221" s="177"/>
      <c r="J221" s="177"/>
      <c r="K221" s="177"/>
      <c r="L221" s="177"/>
      <c r="M221" s="177"/>
      <c r="N221" s="308"/>
      <c r="O221" s="309"/>
      <c r="P221" s="309"/>
      <c r="Q221" s="309"/>
      <c r="R221" s="309"/>
      <c r="S221" s="309"/>
      <c r="T221" s="309"/>
      <c r="U221" s="309"/>
      <c r="V221" s="309"/>
      <c r="W221" s="309"/>
      <c r="X221" s="309"/>
      <c r="Y221" s="309"/>
      <c r="Z221" s="310"/>
      <c r="AA221" s="254"/>
    </row>
    <row r="222" spans="1:27" s="238" customFormat="1" ht="15.75" hidden="1" x14ac:dyDescent="0.2">
      <c r="A222" s="177">
        <v>76</v>
      </c>
      <c r="B222" s="177" t="s">
        <v>137</v>
      </c>
      <c r="C222" s="177"/>
      <c r="D222" s="177"/>
      <c r="E222" s="177">
        <v>43</v>
      </c>
      <c r="F222" s="177">
        <v>33</v>
      </c>
      <c r="G222" s="177">
        <f>SUM(E222:F222)</f>
        <v>76</v>
      </c>
      <c r="H222" s="177">
        <v>1.1499999999999999</v>
      </c>
      <c r="I222" s="177">
        <v>0.6</v>
      </c>
      <c r="J222" s="177">
        <f>H222*C222*G222*I222</f>
        <v>0</v>
      </c>
      <c r="K222" s="177">
        <v>3.7389999999999999</v>
      </c>
      <c r="L222" s="177">
        <f>(C222+D222)*K222*0.001</f>
        <v>0</v>
      </c>
      <c r="M222" s="177" t="e">
        <f>J222*(($E$4+$F$4-2*$G$4)/($E$11+$F$11-2*$G$11))</f>
        <v>#REF!</v>
      </c>
      <c r="N222" s="250">
        <f>0.00125*1*L222*($E$4+$F$4-2*5)*1000</f>
        <v>0</v>
      </c>
      <c r="O222" s="185" t="e">
        <f>J222*(($E$5+$F$5-2*$G$5)/($E$11+$F$11-2*$G$11))</f>
        <v>#REF!</v>
      </c>
      <c r="P222" s="185">
        <f>0.00125*1*L222*($E$5+$F$5-2*5)*1000</f>
        <v>0</v>
      </c>
      <c r="Q222" s="185" t="e">
        <f>J222*(($E$6+$F$6-2*$G$6)/($E$11+$F$11-2*$G$11))</f>
        <v>#REF!</v>
      </c>
      <c r="R222" s="185">
        <f>0.00125*1*L222*($E$6+$F$6-2*5)*1000</f>
        <v>0</v>
      </c>
      <c r="S222" s="185" t="e">
        <f>J222*(($E$7+$F$7-2*$G$7)/($E$11+$F$11-2*$G$11))</f>
        <v>#REF!</v>
      </c>
      <c r="T222" s="185">
        <f>0.00125*1*L222*($E$7+$F$7-2*5)*1000</f>
        <v>0</v>
      </c>
      <c r="U222" s="185" t="e">
        <f>J222*(($E$8+$F$8-2*$G$8)/($E$11+$F$11-2*$G$11))</f>
        <v>#REF!</v>
      </c>
      <c r="V222" s="185">
        <f>0.00125*1*L222*($E$8+$F$8-2*5)*1000</f>
        <v>0</v>
      </c>
      <c r="W222" s="185" t="e">
        <f>J222*(($E$9+$F$9-2*$G$9)/($E$11+$F$11-2*$G$11))</f>
        <v>#REF!</v>
      </c>
      <c r="X222" s="185">
        <f>0.00125*1*L222*($E$9+$F$9-2*5)*1000</f>
        <v>0</v>
      </c>
      <c r="Y222" s="185" t="e">
        <f>J222*(($E$10+$F$10-2*$G$10)/($E$11+$F$11-2*$G$11))</f>
        <v>#REF!</v>
      </c>
      <c r="Z222" s="251">
        <f>0.00125*1*L222*($E$10+$F$10-2*5)*1000</f>
        <v>0</v>
      </c>
      <c r="AA222" s="252"/>
    </row>
    <row r="223" spans="1:27" s="238" customFormat="1" ht="16.5" hidden="1" thickBot="1" x14ac:dyDescent="0.3">
      <c r="A223" s="516"/>
      <c r="B223" s="517"/>
      <c r="C223" s="517"/>
      <c r="D223" s="517"/>
      <c r="E223" s="517"/>
      <c r="F223" s="518"/>
      <c r="G223" s="177"/>
      <c r="H223" s="177"/>
      <c r="I223" s="177"/>
      <c r="J223" s="177"/>
      <c r="K223" s="177"/>
      <c r="L223" s="177"/>
      <c r="M223" s="177"/>
      <c r="N223" s="267" t="e">
        <f>ROUND(((M222+N222)*31*24*0.000001),2)</f>
        <v>#REF!</v>
      </c>
      <c r="O223" s="281"/>
      <c r="P223" s="281" t="e">
        <f>ROUND(((O222+P222)*28*24*0.000001),2)</f>
        <v>#REF!</v>
      </c>
      <c r="Q223" s="281"/>
      <c r="R223" s="281" t="e">
        <f>ROUND(((Q222+R222)*31*24*0.000001),2)</f>
        <v>#REF!</v>
      </c>
      <c r="S223" s="281"/>
      <c r="T223" s="281" t="e">
        <f>ROUND(((S222+T222)*14*24*0.000001),2)</f>
        <v>#REF!</v>
      </c>
      <c r="U223" s="281"/>
      <c r="V223" s="281" t="e">
        <f>ROUND(((U222+V222)*21*24*0.000001),2)</f>
        <v>#REF!</v>
      </c>
      <c r="W223" s="281"/>
      <c r="X223" s="281" t="e">
        <f>ROUND(((W222+X222)*30*24*0.000001),2)</f>
        <v>#REF!</v>
      </c>
      <c r="Y223" s="281"/>
      <c r="Z223" s="282" t="e">
        <f>ROUND(((Y222+Z222)*31*24*0.000001),2)</f>
        <v>#REF!</v>
      </c>
      <c r="AA223" s="268" t="e">
        <f>N223+P223+R223+T223+V223+X223+Z223</f>
        <v>#REF!</v>
      </c>
    </row>
    <row r="224" spans="1:27" s="238" customFormat="1" ht="15.75" hidden="1" x14ac:dyDescent="0.25">
      <c r="A224" s="516" t="s">
        <v>172</v>
      </c>
      <c r="B224" s="517"/>
      <c r="C224" s="517"/>
      <c r="D224" s="517"/>
      <c r="E224" s="517"/>
      <c r="F224" s="518"/>
      <c r="G224" s="177"/>
      <c r="H224" s="177"/>
      <c r="I224" s="177"/>
      <c r="J224" s="177"/>
      <c r="K224" s="177"/>
      <c r="L224" s="177"/>
      <c r="M224" s="177"/>
      <c r="N224" s="308"/>
      <c r="O224" s="309"/>
      <c r="P224" s="309"/>
      <c r="Q224" s="309"/>
      <c r="R224" s="309"/>
      <c r="S224" s="309"/>
      <c r="T224" s="309"/>
      <c r="U224" s="309"/>
      <c r="V224" s="309"/>
      <c r="W224" s="309"/>
      <c r="X224" s="309"/>
      <c r="Y224" s="309"/>
      <c r="Z224" s="310"/>
      <c r="AA224" s="254"/>
    </row>
    <row r="225" spans="1:37" s="238" customFormat="1" ht="15.75" hidden="1" x14ac:dyDescent="0.2">
      <c r="A225" s="177"/>
      <c r="B225" s="177" t="s">
        <v>137</v>
      </c>
      <c r="C225" s="177"/>
      <c r="D225" s="177"/>
      <c r="E225" s="177"/>
      <c r="F225" s="177"/>
      <c r="G225" s="177">
        <f>SUM(E225:F225)</f>
        <v>0</v>
      </c>
      <c r="H225" s="177">
        <v>1.1499999999999999</v>
      </c>
      <c r="I225" s="177">
        <v>0.6</v>
      </c>
      <c r="J225" s="177">
        <f>H225*C225*G225*I225</f>
        <v>0</v>
      </c>
      <c r="K225" s="177"/>
      <c r="L225" s="177">
        <f>(C225+D225)*K225*0.001</f>
        <v>0</v>
      </c>
      <c r="M225" s="177" t="e">
        <f>J225*(($E$4+$F$4-2*$G$4)/($E$11+$F$11-2*$G$11))</f>
        <v>#REF!</v>
      </c>
      <c r="N225" s="250">
        <f>0.00125*1*L225*($E$4+$F$4-2*5)*1000</f>
        <v>0</v>
      </c>
      <c r="O225" s="185" t="e">
        <f>J225*(($E$5+$F$5-2*$G$5)/($E$11+$F$11-2*$G$11))</f>
        <v>#REF!</v>
      </c>
      <c r="P225" s="185">
        <f>0.00125*1*L225*($E$5+$F$5-2*5)*1000</f>
        <v>0</v>
      </c>
      <c r="Q225" s="185" t="e">
        <f>J225*(($E$6+$F$6-2*$G$6)/($E$11+$F$11-2*$G$11))</f>
        <v>#REF!</v>
      </c>
      <c r="R225" s="185">
        <f>0.00125*1*L225*($E$6+$F$6-2*5)*1000</f>
        <v>0</v>
      </c>
      <c r="S225" s="185" t="e">
        <f>J225*(($E$7+$F$7-2*$G$7)/($E$11+$F$11-2*$G$11))</f>
        <v>#REF!</v>
      </c>
      <c r="T225" s="185">
        <f>0.00125*1*L225*($E$7+$F$7-2*5)*1000</f>
        <v>0</v>
      </c>
      <c r="U225" s="185" t="e">
        <f>J225*(($E$8+$F$8-2*$G$8)/($E$11+$F$11-2*$G$11))</f>
        <v>#REF!</v>
      </c>
      <c r="V225" s="185">
        <f>0.00125*1*L225*($E$8+$F$8-2*5)*1000</f>
        <v>0</v>
      </c>
      <c r="W225" s="185" t="e">
        <f>J225*(($E$9+$F$9-2*$G$9)/($E$11+$F$11-2*$G$11))</f>
        <v>#REF!</v>
      </c>
      <c r="X225" s="185">
        <f>0.00125*1*L225*($E$9+$F$9-2*5)*1000</f>
        <v>0</v>
      </c>
      <c r="Y225" s="185" t="e">
        <f>J225*(($E$10+$F$10-2*$G$10)/($E$11+$F$11-2*$G$11))</f>
        <v>#REF!</v>
      </c>
      <c r="Z225" s="251">
        <f>0.00125*1*L225*($E$10+$F$10-2*5)*1000</f>
        <v>0</v>
      </c>
      <c r="AA225" s="252"/>
    </row>
    <row r="226" spans="1:37" s="238" customFormat="1" ht="16.5" hidden="1" thickBot="1" x14ac:dyDescent="0.3">
      <c r="A226" s="516"/>
      <c r="B226" s="517"/>
      <c r="C226" s="517"/>
      <c r="D226" s="517"/>
      <c r="E226" s="517"/>
      <c r="F226" s="518"/>
      <c r="G226" s="177"/>
      <c r="H226" s="177"/>
      <c r="I226" s="177"/>
      <c r="J226" s="177"/>
      <c r="K226" s="177"/>
      <c r="L226" s="177"/>
      <c r="M226" s="177"/>
      <c r="N226" s="267" t="e">
        <f>ROUND(((M225+N225)*31*24*0.000001),2)</f>
        <v>#REF!</v>
      </c>
      <c r="O226" s="281"/>
      <c r="P226" s="281" t="e">
        <f>ROUND(((O225+P225)*28*24*0.000001),2)</f>
        <v>#REF!</v>
      </c>
      <c r="Q226" s="281"/>
      <c r="R226" s="281" t="e">
        <f>ROUND(((Q225+R225)*31*24*0.000001),2)</f>
        <v>#REF!</v>
      </c>
      <c r="S226" s="281"/>
      <c r="T226" s="281" t="e">
        <f>ROUND(((S225+T225)*14*24*0.000001),2)</f>
        <v>#REF!</v>
      </c>
      <c r="U226" s="281"/>
      <c r="V226" s="281" t="e">
        <f>ROUND(((U225+V225)*21*24*0.000001),2)</f>
        <v>#REF!</v>
      </c>
      <c r="W226" s="281"/>
      <c r="X226" s="281" t="e">
        <f>ROUND(((W225+X225)*30*24*0.000001),2)</f>
        <v>#REF!</v>
      </c>
      <c r="Y226" s="281"/>
      <c r="Z226" s="282" t="e">
        <f>ROUND(((Y225+Z225)*31*24*0.000001),2)</f>
        <v>#REF!</v>
      </c>
      <c r="AA226" s="268" t="e">
        <f>N226+P226+R226+T226+V226+X226+Z226</f>
        <v>#REF!</v>
      </c>
    </row>
    <row r="227" spans="1:37" s="238" customFormat="1" ht="15.75" x14ac:dyDescent="0.25">
      <c r="A227" s="516" t="s">
        <v>182</v>
      </c>
      <c r="B227" s="517"/>
      <c r="C227" s="517"/>
      <c r="D227" s="517"/>
      <c r="E227" s="517"/>
      <c r="F227" s="518"/>
      <c r="G227" s="177"/>
      <c r="H227" s="177"/>
      <c r="I227" s="177"/>
      <c r="J227" s="177"/>
      <c r="K227" s="177"/>
      <c r="L227" s="177"/>
      <c r="M227" s="177"/>
      <c r="N227" s="308"/>
      <c r="O227" s="309"/>
      <c r="P227" s="309"/>
      <c r="Q227" s="309"/>
      <c r="R227" s="309"/>
      <c r="S227" s="309"/>
      <c r="T227" s="309"/>
      <c r="U227" s="309"/>
      <c r="V227" s="309"/>
      <c r="W227" s="309"/>
      <c r="X227" s="309"/>
      <c r="Y227" s="309"/>
      <c r="Z227" s="310"/>
      <c r="AA227" s="254"/>
    </row>
    <row r="228" spans="1:37" s="238" customFormat="1" ht="15.75" x14ac:dyDescent="0.2">
      <c r="A228" s="177">
        <v>57</v>
      </c>
      <c r="B228" s="177" t="s">
        <v>137</v>
      </c>
      <c r="C228" s="177">
        <v>17</v>
      </c>
      <c r="D228" s="177">
        <v>17</v>
      </c>
      <c r="E228" s="177">
        <v>38</v>
      </c>
      <c r="F228" s="177">
        <v>29</v>
      </c>
      <c r="G228" s="177">
        <f>SUM(E228:F228)</f>
        <v>67</v>
      </c>
      <c r="H228" s="177">
        <v>1.1499999999999999</v>
      </c>
      <c r="I228" s="177">
        <v>0.6</v>
      </c>
      <c r="J228" s="177">
        <f>H228*C228*G228*I228</f>
        <v>785.91</v>
      </c>
      <c r="K228" s="177">
        <v>1.9630000000000001</v>
      </c>
      <c r="L228" s="177">
        <f>(C228+D228)*K228*0.001</f>
        <v>6.674200000000001E-2</v>
      </c>
      <c r="M228" s="177" t="e">
        <f>J228*(($E$4+$F$4-2*$G$4)/($E$11+$F$11-2*$G$11))</f>
        <v>#REF!</v>
      </c>
      <c r="N228" s="250">
        <f>0.00125*1*L228*($E$4+$F$4-2*5)*1000</f>
        <v>8.4261775000000014</v>
      </c>
      <c r="O228" s="185" t="e">
        <f>J228*(($E$5+$F$5-2*$G$5)/($E$11+$F$11-2*$G$11))</f>
        <v>#REF!</v>
      </c>
      <c r="P228" s="185">
        <f>0.00125*1*L228*($E$5+$F$5-2*5)*1000</f>
        <v>7.7587575000000006</v>
      </c>
      <c r="Q228" s="185" t="e">
        <f>J228*(($E$6+$F$6-2*$G$6)/($E$11+$F$11-2*$G$11))</f>
        <v>#REF!</v>
      </c>
      <c r="R228" s="185">
        <f>0.00125*1*L228*($E$6+$F$6-2*5)*1000</f>
        <v>6.6742000000000008</v>
      </c>
      <c r="S228" s="185" t="e">
        <f>J228*(($E$7+$F$7-2*$G$7)/($E$11+$F$11-2*$G$11))</f>
        <v>#REF!</v>
      </c>
      <c r="T228" s="185">
        <f>0.00125*1*L228*($E$7+$F$7-2*5)*1000</f>
        <v>5.6730700000000009</v>
      </c>
      <c r="U228" s="185" t="e">
        <f>J228*(($E$8+$F$8-2*$G$8)/($E$11+$F$11-2*$G$11))</f>
        <v>#REF!</v>
      </c>
      <c r="V228" s="185">
        <f>0.00125*1*L228*($E$8+$F$8-2*5)*1000</f>
        <v>6.4239175000000008</v>
      </c>
      <c r="W228" s="185" t="e">
        <f>J228*(($E$9+$F$9-2*$G$9)/($E$11+$F$11-2*$G$11))</f>
        <v>#REF!</v>
      </c>
      <c r="X228" s="185">
        <f>0.00125*1*L228*($E$9+$F$9-2*5)*1000</f>
        <v>6.7576274999999999</v>
      </c>
      <c r="Y228" s="185" t="e">
        <f>J228*(($E$10+$F$10-2*$G$10)/($E$11+$F$11-2*$G$11))</f>
        <v>#REF!</v>
      </c>
      <c r="Z228" s="251">
        <f>0.00125*1*L228*($E$10+$F$10-2*5)*1000</f>
        <v>7.6753300000000007</v>
      </c>
      <c r="AA228" s="252"/>
    </row>
    <row r="229" spans="1:37" s="238" customFormat="1" ht="16.5" thickBot="1" x14ac:dyDescent="0.3">
      <c r="A229" s="516"/>
      <c r="B229" s="517"/>
      <c r="C229" s="517"/>
      <c r="D229" s="517"/>
      <c r="E229" s="517"/>
      <c r="F229" s="518"/>
      <c r="G229" s="177"/>
      <c r="H229" s="177"/>
      <c r="I229" s="177"/>
      <c r="J229" s="177"/>
      <c r="K229" s="177"/>
      <c r="L229" s="177"/>
      <c r="M229" s="177"/>
      <c r="N229" s="267" t="e">
        <f>ROUND(((M228+N228)*#REF!*24*0.000001),2)</f>
        <v>#REF!</v>
      </c>
      <c r="O229" s="281"/>
      <c r="P229" s="281" t="e">
        <f>ROUND(((O228+P228)*#REF!*24*0.000001),2)</f>
        <v>#REF!</v>
      </c>
      <c r="Q229" s="281"/>
      <c r="R229" s="281" t="e">
        <f>ROUND(((Q228+R228)*#REF!*24*0.000001),2)</f>
        <v>#REF!</v>
      </c>
      <c r="S229" s="281"/>
      <c r="T229" s="281" t="e">
        <f>ROUND(((S228+T228)*#REF!*24*0.000001),2)</f>
        <v>#REF!</v>
      </c>
      <c r="U229" s="281"/>
      <c r="V229" s="281" t="e">
        <f>ROUND(((U228+V228)*#REF!*24*0.000001),2)</f>
        <v>#REF!</v>
      </c>
      <c r="W229" s="281"/>
      <c r="X229" s="281" t="e">
        <f>ROUND(((W228+X228)*#REF!*24*0.000001),2)</f>
        <v>#REF!</v>
      </c>
      <c r="Y229" s="281"/>
      <c r="Z229" s="282" t="e">
        <f>ROUND(((Y228+Z228)*#REF!*24*0.000001),2)</f>
        <v>#REF!</v>
      </c>
      <c r="AA229" s="268" t="e">
        <f>N229+P229+R229+T229+V229+X229+Z229</f>
        <v>#REF!</v>
      </c>
    </row>
    <row r="230" spans="1:37" s="238" customFormat="1" ht="15.75" hidden="1" x14ac:dyDescent="0.25">
      <c r="A230" s="516" t="s">
        <v>169</v>
      </c>
      <c r="B230" s="517"/>
      <c r="C230" s="517"/>
      <c r="D230" s="517"/>
      <c r="E230" s="517"/>
      <c r="F230" s="518"/>
      <c r="G230" s="177"/>
      <c r="H230" s="177"/>
      <c r="I230" s="177"/>
      <c r="J230" s="177"/>
      <c r="K230" s="177"/>
      <c r="L230" s="177"/>
      <c r="M230" s="177"/>
      <c r="N230" s="308"/>
      <c r="O230" s="309"/>
      <c r="P230" s="309"/>
      <c r="Q230" s="309"/>
      <c r="R230" s="309"/>
      <c r="S230" s="309"/>
      <c r="T230" s="309"/>
      <c r="U230" s="309"/>
      <c r="V230" s="309"/>
      <c r="W230" s="309"/>
      <c r="X230" s="309"/>
      <c r="Y230" s="309"/>
      <c r="Z230" s="310"/>
      <c r="AA230" s="254"/>
    </row>
    <row r="231" spans="1:37" s="238" customFormat="1" ht="15.75" hidden="1" x14ac:dyDescent="0.2">
      <c r="A231" s="177">
        <v>57</v>
      </c>
      <c r="B231" s="177" t="s">
        <v>137</v>
      </c>
      <c r="C231" s="177"/>
      <c r="D231" s="177"/>
      <c r="E231" s="177">
        <v>38</v>
      </c>
      <c r="F231" s="177">
        <v>29</v>
      </c>
      <c r="G231" s="177">
        <f>SUM(E231:F231)</f>
        <v>67</v>
      </c>
      <c r="H231" s="177">
        <v>1.1499999999999999</v>
      </c>
      <c r="I231" s="177">
        <v>0.6</v>
      </c>
      <c r="J231" s="177">
        <f>H231*C231*G231*I231</f>
        <v>0</v>
      </c>
      <c r="K231" s="177">
        <v>1.9630000000000001</v>
      </c>
      <c r="L231" s="177">
        <f>(C231+D231)*K231*0.001</f>
        <v>0</v>
      </c>
      <c r="M231" s="177" t="e">
        <f>J231*(($E$4+$F$4-2*$G$4)/($E$11+$F$11-2*$G$11))</f>
        <v>#REF!</v>
      </c>
      <c r="N231" s="250">
        <f>0.00125*1*L231*($E$4+$F$4-2*5)*1000</f>
        <v>0</v>
      </c>
      <c r="O231" s="185" t="e">
        <f>J231*(($E$5+$F$5-2*$G$5)/($E$11+$F$11-2*$G$11))</f>
        <v>#REF!</v>
      </c>
      <c r="P231" s="185">
        <f>0.00125*1*L231*($E$5+$F$5-2*5)*1000</f>
        <v>0</v>
      </c>
      <c r="Q231" s="185" t="e">
        <f>J231*(($E$6+$F$6-2*$G$6)/($E$11+$F$11-2*$G$11))</f>
        <v>#REF!</v>
      </c>
      <c r="R231" s="185">
        <f>0.00125*1*L231*($E$6+$F$6-2*5)*1000</f>
        <v>0</v>
      </c>
      <c r="S231" s="185" t="e">
        <f>J231*(($E$7+$F$7-2*$G$7)/($E$11+$F$11-2*$G$11))</f>
        <v>#REF!</v>
      </c>
      <c r="T231" s="185">
        <f>0.00125*1*L231*($E$7+$F$7-2*5)*1000</f>
        <v>0</v>
      </c>
      <c r="U231" s="185" t="e">
        <f>J231*(($E$8+$F$8-2*$G$8)/($E$11+$F$11-2*$G$11))</f>
        <v>#REF!</v>
      </c>
      <c r="V231" s="185">
        <f>0.00125*1*L231*($E$8+$F$8-2*5)*1000</f>
        <v>0</v>
      </c>
      <c r="W231" s="185" t="e">
        <f>J231*(($E$9+$F$9-2*$G$9)/($E$11+$F$11-2*$G$11))</f>
        <v>#REF!</v>
      </c>
      <c r="X231" s="185">
        <f>0.00125*1*L231*($E$9+$F$9-2*5)*1000</f>
        <v>0</v>
      </c>
      <c r="Y231" s="185" t="e">
        <f>J231*(($E$10+$F$10-2*$G$10)/($E$11+$F$11-2*$G$11))</f>
        <v>#REF!</v>
      </c>
      <c r="Z231" s="251">
        <f>0.00125*1*L231*($E$10+$F$10-2*5)*1000</f>
        <v>0</v>
      </c>
      <c r="AA231" s="252"/>
    </row>
    <row r="232" spans="1:37" s="238" customFormat="1" ht="16.5" hidden="1" thickBot="1" x14ac:dyDescent="0.3">
      <c r="A232" s="516"/>
      <c r="B232" s="517"/>
      <c r="C232" s="517"/>
      <c r="D232" s="517"/>
      <c r="E232" s="517"/>
      <c r="F232" s="518"/>
      <c r="G232" s="177"/>
      <c r="H232" s="177"/>
      <c r="I232" s="177"/>
      <c r="J232" s="177"/>
      <c r="K232" s="177"/>
      <c r="L232" s="177"/>
      <c r="M232" s="177"/>
      <c r="N232" s="267" t="e">
        <f>ROUND(((M231+N231)*31*24*0.000001),2)</f>
        <v>#REF!</v>
      </c>
      <c r="O232" s="281"/>
      <c r="P232" s="281" t="e">
        <f>ROUND(((O231+P231)*28*24*0.000001),2)</f>
        <v>#REF!</v>
      </c>
      <c r="Q232" s="281"/>
      <c r="R232" s="281" t="e">
        <f>ROUND(((Q231+R231)*31*24*0.000001),2)</f>
        <v>#REF!</v>
      </c>
      <c r="S232" s="281"/>
      <c r="T232" s="281" t="e">
        <f>ROUND(((S231+T231)*14*24*0.000001),2)</f>
        <v>#REF!</v>
      </c>
      <c r="U232" s="281"/>
      <c r="V232" s="281" t="e">
        <f>ROUND(((U231+V231)*21*24*0.000001),2)</f>
        <v>#REF!</v>
      </c>
      <c r="W232" s="281"/>
      <c r="X232" s="281" t="e">
        <f>ROUND(((W231+X231)*30*24*0.000001),2)</f>
        <v>#REF!</v>
      </c>
      <c r="Y232" s="281"/>
      <c r="Z232" s="282" t="e">
        <f>ROUND(((Y231+Z231)*31*24*0.000001),2)</f>
        <v>#REF!</v>
      </c>
      <c r="AA232" s="268" t="e">
        <f>N232+P232+R232+T232+V232+X232+Z232</f>
        <v>#REF!</v>
      </c>
    </row>
    <row r="233" spans="1:37" s="238" customFormat="1" ht="15.75" hidden="1" x14ac:dyDescent="0.25">
      <c r="A233" s="516" t="s">
        <v>176</v>
      </c>
      <c r="B233" s="517"/>
      <c r="C233" s="517"/>
      <c r="D233" s="517"/>
      <c r="E233" s="517"/>
      <c r="F233" s="518"/>
      <c r="G233" s="177"/>
      <c r="H233" s="177"/>
      <c r="I233" s="177"/>
      <c r="J233" s="177"/>
      <c r="K233" s="177"/>
      <c r="L233" s="177"/>
      <c r="M233" s="177"/>
      <c r="N233" s="308"/>
      <c r="O233" s="309"/>
      <c r="P233" s="309"/>
      <c r="Q233" s="309"/>
      <c r="R233" s="309"/>
      <c r="S233" s="309"/>
      <c r="T233" s="309"/>
      <c r="U233" s="309"/>
      <c r="V233" s="309"/>
      <c r="W233" s="309"/>
      <c r="X233" s="309"/>
      <c r="Y233" s="309"/>
      <c r="Z233" s="310"/>
      <c r="AA233" s="254"/>
    </row>
    <row r="234" spans="1:37" s="238" customFormat="1" ht="15.75" hidden="1" x14ac:dyDescent="0.2">
      <c r="A234" s="177">
        <v>57</v>
      </c>
      <c r="B234" s="177" t="s">
        <v>137</v>
      </c>
      <c r="C234" s="177"/>
      <c r="D234" s="177"/>
      <c r="E234" s="177">
        <v>38</v>
      </c>
      <c r="F234" s="177">
        <v>29</v>
      </c>
      <c r="G234" s="177">
        <f>SUM(E234:F234)</f>
        <v>67</v>
      </c>
      <c r="H234" s="177">
        <v>1.1499999999999999</v>
      </c>
      <c r="I234" s="177">
        <v>0.6</v>
      </c>
      <c r="J234" s="177">
        <f>H234*C234*G234*I234</f>
        <v>0</v>
      </c>
      <c r="K234" s="177">
        <v>1.9630000000000001</v>
      </c>
      <c r="L234" s="177">
        <f>(C234+D234)*K234*0.001</f>
        <v>0</v>
      </c>
      <c r="M234" s="177" t="e">
        <f>J234*(($E$4+$F$4-2*$G$4)/($E$11+$F$11-2*$G$11))</f>
        <v>#REF!</v>
      </c>
      <c r="N234" s="250">
        <f>0.00125*1*L234*($E$4+$F$4-2*5)*1000</f>
        <v>0</v>
      </c>
      <c r="O234" s="185" t="e">
        <f>J234*(($E$5+$F$5-2*$G$5)/($E$11+$F$11-2*$G$11))</f>
        <v>#REF!</v>
      </c>
      <c r="P234" s="185">
        <f>0.00125*1*L234*($E$5+$F$5-2*5)*1000</f>
        <v>0</v>
      </c>
      <c r="Q234" s="185" t="e">
        <f>J234*(($E$6+$F$6-2*$G$6)/($E$11+$F$11-2*$G$11))</f>
        <v>#REF!</v>
      </c>
      <c r="R234" s="185">
        <f>0.00125*1*L234*($E$6+$F$6-2*5)*1000</f>
        <v>0</v>
      </c>
      <c r="S234" s="185" t="e">
        <f>J234*(($E$7+$F$7-2*$G$7)/($E$11+$F$11-2*$G$11))</f>
        <v>#REF!</v>
      </c>
      <c r="T234" s="185">
        <f>0.00125*1*L234*($E$7+$F$7-2*5)*1000</f>
        <v>0</v>
      </c>
      <c r="U234" s="185" t="e">
        <f>J234*(($E$8+$F$8-2*$G$8)/($E$11+$F$11-2*$G$11))</f>
        <v>#REF!</v>
      </c>
      <c r="V234" s="185">
        <f>0.00125*1*L234*($E$8+$F$8-2*5)*1000</f>
        <v>0</v>
      </c>
      <c r="W234" s="185" t="e">
        <f>J234*(($E$9+$F$9-2*$G$9)/($E$11+$F$11-2*$G$11))</f>
        <v>#REF!</v>
      </c>
      <c r="X234" s="185">
        <f>0.00125*1*L234*($E$9+$F$9-2*5)*1000</f>
        <v>0</v>
      </c>
      <c r="Y234" s="185" t="e">
        <f>J234*(($E$10+$F$10-2*$G$10)/($E$11+$F$11-2*$G$11))</f>
        <v>#REF!</v>
      </c>
      <c r="Z234" s="251">
        <f>0.00125*1*L234*($E$10+$F$10-2*5)*1000</f>
        <v>0</v>
      </c>
      <c r="AA234" s="252"/>
    </row>
    <row r="235" spans="1:37" s="238" customFormat="1" ht="16.5" hidden="1" thickBot="1" x14ac:dyDescent="0.3">
      <c r="A235" s="546"/>
      <c r="B235" s="517"/>
      <c r="C235" s="517"/>
      <c r="D235" s="517"/>
      <c r="E235" s="517"/>
      <c r="F235" s="518"/>
      <c r="G235" s="177"/>
      <c r="H235" s="177"/>
      <c r="I235" s="177"/>
      <c r="J235" s="177"/>
      <c r="K235" s="177"/>
      <c r="L235" s="177"/>
      <c r="M235" s="177"/>
      <c r="N235" s="267" t="e">
        <f>ROUND(((M234+N234)*31*24*0.000001),2)</f>
        <v>#REF!</v>
      </c>
      <c r="O235" s="281"/>
      <c r="P235" s="281" t="e">
        <f>ROUND(((O234+P234)*28*24*0.000001),2)</f>
        <v>#REF!</v>
      </c>
      <c r="Q235" s="281"/>
      <c r="R235" s="281" t="e">
        <f>ROUND(((Q234+R234)*31*24*0.000001),2)</f>
        <v>#REF!</v>
      </c>
      <c r="S235" s="281"/>
      <c r="T235" s="281" t="e">
        <f>ROUND(((S234+T234)*14*24*0.000001),2)</f>
        <v>#REF!</v>
      </c>
      <c r="U235" s="281"/>
      <c r="V235" s="281" t="e">
        <f>ROUND(((U234+V234)*21*24*0.000001),2)</f>
        <v>#REF!</v>
      </c>
      <c r="W235" s="281"/>
      <c r="X235" s="281" t="e">
        <f>ROUND(((W234+X234)*30*24*0.000001),2)</f>
        <v>#REF!</v>
      </c>
      <c r="Y235" s="281"/>
      <c r="Z235" s="282" t="e">
        <f>ROUND(((Y234+Z234)*31*24*0.000001),2)</f>
        <v>#REF!</v>
      </c>
      <c r="AA235" s="268" t="e">
        <f>N235+P235+R235+T235+V235+X235+Z235</f>
        <v>#REF!</v>
      </c>
    </row>
    <row r="236" spans="1:37" s="238" customFormat="1" ht="15.75" hidden="1" x14ac:dyDescent="0.2">
      <c r="A236" s="177"/>
      <c r="B236" s="177"/>
      <c r="C236" s="177"/>
      <c r="D236" s="177"/>
      <c r="E236" s="177"/>
      <c r="F236" s="177"/>
      <c r="G236" s="177"/>
      <c r="H236" s="177"/>
      <c r="I236" s="177"/>
      <c r="J236" s="177"/>
      <c r="K236" s="177"/>
      <c r="L236" s="177"/>
      <c r="M236" s="177"/>
      <c r="N236" s="177"/>
      <c r="O236" s="177"/>
      <c r="P236" s="177"/>
      <c r="Q236" s="177"/>
      <c r="R236" s="177"/>
      <c r="S236" s="177"/>
      <c r="T236" s="177"/>
      <c r="U236" s="177"/>
      <c r="V236" s="177"/>
      <c r="W236" s="177"/>
      <c r="X236" s="177"/>
      <c r="Y236" s="177"/>
      <c r="Z236" s="250"/>
      <c r="AA236" s="252"/>
    </row>
    <row r="237" spans="1:37" s="238" customFormat="1" ht="19.5" thickBot="1" x14ac:dyDescent="0.25">
      <c r="A237" s="311" t="s">
        <v>166</v>
      </c>
      <c r="B237" s="312"/>
      <c r="C237" s="312">
        <f>C67+C83+C90+C106+C114+C122+C141+C152+C163+C175+C187+C197+C203+C207+C210+C213+C216+C219+C222+C225+C228+C231+C234</f>
        <v>2218.5</v>
      </c>
      <c r="D237" s="312">
        <f>D67+D83+D90+D106+D114+D122+D141+D152+D163+D175+D187+D197+D203+D207+D210+D213+D216+D219+D222+D225+D228+D231+D234</f>
        <v>2218.5</v>
      </c>
      <c r="E237" s="312"/>
      <c r="F237" s="312"/>
      <c r="G237" s="312"/>
      <c r="H237" s="312"/>
      <c r="I237" s="312"/>
      <c r="J237" s="312"/>
      <c r="K237" s="312"/>
      <c r="L237" s="312"/>
      <c r="M237" s="313"/>
      <c r="N237" s="313"/>
      <c r="O237" s="313"/>
      <c r="P237" s="313"/>
      <c r="Q237" s="313"/>
      <c r="R237" s="313"/>
      <c r="S237" s="313"/>
      <c r="T237" s="313"/>
      <c r="U237" s="313"/>
      <c r="V237" s="313"/>
      <c r="W237" s="313"/>
      <c r="X237" s="313"/>
      <c r="Y237" s="313"/>
      <c r="Z237" s="314"/>
      <c r="AA237" s="315" t="e">
        <f>AA68+AA84+AA91+AA107+AA115+AA123+AA142+AA153+AA164+AA176+AA188+AA198+AA204+AA208+AA211+AA214+AA217+AA220+AA223+AA226+AA229+AA232+AA235</f>
        <v>#REF!</v>
      </c>
    </row>
    <row r="238" spans="1:37" s="316" customFormat="1" ht="13.5" thickBot="1" x14ac:dyDescent="0.25">
      <c r="B238" s="317" t="s">
        <v>140</v>
      </c>
      <c r="C238" s="316">
        <f>C68+C84+C91+C107+C115+C123+C142+C153+C164+C176+C188+C198+C204</f>
        <v>0</v>
      </c>
      <c r="AK238" s="318"/>
    </row>
    <row r="239" spans="1:37" s="41" customFormat="1" x14ac:dyDescent="0.2"/>
    <row r="240" spans="1:37" s="41" customFormat="1" x14ac:dyDescent="0.2"/>
    <row r="241" spans="1:7" s="41" customFormat="1" x14ac:dyDescent="0.2">
      <c r="A241" s="88"/>
      <c r="B241" s="167"/>
      <c r="C241" s="88"/>
      <c r="D241" s="88"/>
      <c r="E241" s="88"/>
      <c r="F241" s="88"/>
      <c r="G241" s="88"/>
    </row>
    <row r="242" spans="1:7" s="41" customFormat="1" x14ac:dyDescent="0.2">
      <c r="A242" s="88"/>
      <c r="B242" s="167"/>
      <c r="C242" s="88"/>
      <c r="D242" s="88"/>
      <c r="E242" s="88"/>
      <c r="F242" s="88"/>
      <c r="G242" s="88"/>
    </row>
    <row r="243" spans="1:7" s="41" customFormat="1" x14ac:dyDescent="0.2">
      <c r="A243" s="88"/>
      <c r="B243" s="167"/>
      <c r="C243" s="88"/>
      <c r="D243" s="88"/>
      <c r="E243" s="88"/>
      <c r="F243" s="88"/>
      <c r="G243" s="88"/>
    </row>
    <row r="244" spans="1:7" s="41" customFormat="1" x14ac:dyDescent="0.2">
      <c r="A244" s="88"/>
      <c r="B244" s="88"/>
      <c r="C244" s="88"/>
      <c r="D244" s="88"/>
      <c r="E244" s="88"/>
      <c r="F244" s="88"/>
      <c r="G244" s="88"/>
    </row>
    <row r="245" spans="1:7" s="41" customFormat="1" x14ac:dyDescent="0.2">
      <c r="A245" s="88"/>
      <c r="B245" s="88"/>
      <c r="C245" s="88"/>
      <c r="D245" s="88"/>
      <c r="E245" s="88"/>
      <c r="F245" s="88"/>
      <c r="G245" s="88"/>
    </row>
    <row r="246" spans="1:7" s="41" customFormat="1" x14ac:dyDescent="0.2"/>
    <row r="247" spans="1:7" s="41" customFormat="1" x14ac:dyDescent="0.2"/>
    <row r="248" spans="1:7" s="41" customFormat="1" x14ac:dyDescent="0.2"/>
    <row r="249" spans="1:7" s="41" customFormat="1" x14ac:dyDescent="0.2"/>
    <row r="250" spans="1:7" s="41" customFormat="1" x14ac:dyDescent="0.2"/>
    <row r="251" spans="1:7" s="41" customFormat="1" x14ac:dyDescent="0.2"/>
    <row r="252" spans="1:7" s="41" customFormat="1" x14ac:dyDescent="0.2"/>
    <row r="253" spans="1:7" s="41" customFormat="1" x14ac:dyDescent="0.2"/>
    <row r="254" spans="1:7" s="41" customFormat="1" x14ac:dyDescent="0.2"/>
    <row r="255" spans="1:7" s="41" customFormat="1" x14ac:dyDescent="0.2"/>
    <row r="256" spans="1:7" s="41" customFormat="1" x14ac:dyDescent="0.2"/>
    <row r="257" s="41" customFormat="1" x14ac:dyDescent="0.2"/>
    <row r="258" s="41" customFormat="1" x14ac:dyDescent="0.2"/>
    <row r="259" s="41" customFormat="1" x14ac:dyDescent="0.2"/>
    <row r="260" s="41" customFormat="1" x14ac:dyDescent="0.2"/>
    <row r="261" s="41" customFormat="1" x14ac:dyDescent="0.2"/>
    <row r="262" s="41" customFormat="1" x14ac:dyDescent="0.2"/>
    <row r="263" s="41" customFormat="1" x14ac:dyDescent="0.2"/>
    <row r="264" s="41" customFormat="1" x14ac:dyDescent="0.2"/>
    <row r="265" s="41" customFormat="1" x14ac:dyDescent="0.2"/>
    <row r="266" s="41" customFormat="1" x14ac:dyDescent="0.2"/>
    <row r="267" s="41" customFormat="1" x14ac:dyDescent="0.2"/>
    <row r="268" s="41" customFormat="1" x14ac:dyDescent="0.2"/>
    <row r="269" s="41" customFormat="1" x14ac:dyDescent="0.2"/>
    <row r="270" s="41" customFormat="1" x14ac:dyDescent="0.2"/>
    <row r="271" s="41" customFormat="1" x14ac:dyDescent="0.2"/>
    <row r="272" s="41" customFormat="1" x14ac:dyDescent="0.2"/>
    <row r="273" s="41" customFormat="1" x14ac:dyDescent="0.2"/>
    <row r="274" s="41" customFormat="1" x14ac:dyDescent="0.2"/>
    <row r="275" s="41" customFormat="1" x14ac:dyDescent="0.2"/>
    <row r="276" s="41" customFormat="1" x14ac:dyDescent="0.2"/>
    <row r="277" s="41" customFormat="1" x14ac:dyDescent="0.2"/>
    <row r="278" s="41" customFormat="1" x14ac:dyDescent="0.2"/>
    <row r="279" s="41" customFormat="1" x14ac:dyDescent="0.2"/>
    <row r="280" s="41" customFormat="1" x14ac:dyDescent="0.2"/>
    <row r="281" s="41" customFormat="1" x14ac:dyDescent="0.2"/>
    <row r="282" s="41" customFormat="1" x14ac:dyDescent="0.2"/>
    <row r="283" s="41" customFormat="1" x14ac:dyDescent="0.2"/>
    <row r="284" s="41" customFormat="1" x14ac:dyDescent="0.2"/>
    <row r="285" s="41" customFormat="1" x14ac:dyDescent="0.2"/>
    <row r="286" s="41" customFormat="1" x14ac:dyDescent="0.2"/>
    <row r="287" s="41" customFormat="1" x14ac:dyDescent="0.2"/>
    <row r="288" s="41" customFormat="1" x14ac:dyDescent="0.2"/>
    <row r="289" s="41" customFormat="1" x14ac:dyDescent="0.2"/>
    <row r="290" s="41" customFormat="1" x14ac:dyDescent="0.2"/>
    <row r="291" s="41" customFormat="1" x14ac:dyDescent="0.2"/>
    <row r="292" s="41" customFormat="1" x14ac:dyDescent="0.2"/>
    <row r="293" s="41" customFormat="1" x14ac:dyDescent="0.2"/>
    <row r="294" s="41" customFormat="1" x14ac:dyDescent="0.2"/>
    <row r="295" s="41" customFormat="1" x14ac:dyDescent="0.2"/>
    <row r="296" s="41" customFormat="1" x14ac:dyDescent="0.2"/>
    <row r="297" s="41" customFormat="1" x14ac:dyDescent="0.2"/>
    <row r="298" s="41" customFormat="1" x14ac:dyDescent="0.2"/>
    <row r="299" s="41" customFormat="1" x14ac:dyDescent="0.2"/>
    <row r="300" s="41" customFormat="1" x14ac:dyDescent="0.2"/>
    <row r="301" s="41" customFormat="1" x14ac:dyDescent="0.2"/>
    <row r="302" s="41" customFormat="1" x14ac:dyDescent="0.2"/>
    <row r="303" s="41" customFormat="1" x14ac:dyDescent="0.2"/>
    <row r="304" s="41" customFormat="1" x14ac:dyDescent="0.2"/>
    <row r="305" s="41" customFormat="1" x14ac:dyDescent="0.2"/>
    <row r="306" s="41" customFormat="1" x14ac:dyDescent="0.2"/>
    <row r="307" s="41" customFormat="1" x14ac:dyDescent="0.2"/>
    <row r="308" s="41" customFormat="1" x14ac:dyDescent="0.2"/>
    <row r="309" s="41" customFormat="1" x14ac:dyDescent="0.2"/>
    <row r="310" s="41" customFormat="1" x14ac:dyDescent="0.2"/>
    <row r="311" s="41" customFormat="1" x14ac:dyDescent="0.2"/>
    <row r="312" s="41" customFormat="1" x14ac:dyDescent="0.2"/>
    <row r="313" s="41" customFormat="1" x14ac:dyDescent="0.2"/>
    <row r="314" s="41" customFormat="1" x14ac:dyDescent="0.2"/>
    <row r="315" s="41" customFormat="1" x14ac:dyDescent="0.2"/>
    <row r="316" s="41" customFormat="1" x14ac:dyDescent="0.2"/>
    <row r="317" s="41" customFormat="1" x14ac:dyDescent="0.2"/>
    <row r="318" s="41" customFormat="1" x14ac:dyDescent="0.2"/>
    <row r="319" s="41" customFormat="1" x14ac:dyDescent="0.2"/>
    <row r="320" s="41" customFormat="1" x14ac:dyDescent="0.2"/>
    <row r="321" s="41" customFormat="1" x14ac:dyDescent="0.2"/>
    <row r="322" s="41" customFormat="1" x14ac:dyDescent="0.2"/>
    <row r="323" s="41" customFormat="1" x14ac:dyDescent="0.2"/>
    <row r="324" s="41" customFormat="1" x14ac:dyDescent="0.2"/>
    <row r="325" s="41" customFormat="1" x14ac:dyDescent="0.2"/>
    <row r="326" s="41" customFormat="1" x14ac:dyDescent="0.2"/>
    <row r="327" s="41" customFormat="1" x14ac:dyDescent="0.2"/>
    <row r="328" s="41" customFormat="1" x14ac:dyDescent="0.2"/>
    <row r="329" s="41" customFormat="1" x14ac:dyDescent="0.2"/>
    <row r="330" s="41" customFormat="1" x14ac:dyDescent="0.2"/>
    <row r="331" s="41" customFormat="1" x14ac:dyDescent="0.2"/>
    <row r="332" s="41" customFormat="1" x14ac:dyDescent="0.2"/>
    <row r="333" s="41" customFormat="1" x14ac:dyDescent="0.2"/>
    <row r="334" s="41" customFormat="1" x14ac:dyDescent="0.2"/>
    <row r="335" s="41" customFormat="1" x14ac:dyDescent="0.2"/>
    <row r="336" s="41" customFormat="1" x14ac:dyDescent="0.2"/>
    <row r="337" spans="34:37" s="41" customFormat="1" x14ac:dyDescent="0.2"/>
    <row r="338" spans="34:37" s="41" customFormat="1" x14ac:dyDescent="0.2"/>
    <row r="339" spans="34:37" s="41" customFormat="1" x14ac:dyDescent="0.2"/>
    <row r="340" spans="34:37" s="41" customFormat="1" x14ac:dyDescent="0.2"/>
    <row r="341" spans="34:37" s="41" customFormat="1" x14ac:dyDescent="0.2"/>
    <row r="342" spans="34:37" s="41" customFormat="1" x14ac:dyDescent="0.2"/>
    <row r="343" spans="34:37" s="41" customFormat="1" x14ac:dyDescent="0.2"/>
    <row r="344" spans="34:37" s="41" customFormat="1" x14ac:dyDescent="0.2"/>
    <row r="345" spans="34:37" s="41" customFormat="1" x14ac:dyDescent="0.2"/>
    <row r="346" spans="34:37" s="41" customFormat="1" x14ac:dyDescent="0.2"/>
    <row r="347" spans="34:37" s="41" customFormat="1" x14ac:dyDescent="0.2"/>
    <row r="348" spans="34:37" x14ac:dyDescent="0.2">
      <c r="AH348" s="15"/>
      <c r="AI348" s="15"/>
      <c r="AJ348" s="41"/>
      <c r="AK348" s="41"/>
    </row>
    <row r="349" spans="34:37" x14ac:dyDescent="0.2">
      <c r="AH349" s="15"/>
      <c r="AI349" s="15"/>
      <c r="AJ349" s="41"/>
      <c r="AK349" s="41"/>
    </row>
    <row r="350" spans="34:37" x14ac:dyDescent="0.2">
      <c r="AH350" s="15"/>
      <c r="AI350" s="15"/>
      <c r="AJ350" s="41"/>
      <c r="AK350" s="41"/>
    </row>
    <row r="351" spans="34:37" x14ac:dyDescent="0.2">
      <c r="AH351" s="15"/>
      <c r="AI351" s="15"/>
      <c r="AJ351" s="41"/>
      <c r="AK351" s="41"/>
    </row>
    <row r="352" spans="34:37" x14ac:dyDescent="0.2">
      <c r="AH352" s="15"/>
      <c r="AI352" s="15"/>
      <c r="AJ352" s="41"/>
      <c r="AK352" s="41"/>
    </row>
    <row r="353" spans="34:37" x14ac:dyDescent="0.2">
      <c r="AH353" s="15"/>
      <c r="AI353" s="15"/>
      <c r="AJ353" s="41"/>
      <c r="AK353" s="41"/>
    </row>
    <row r="354" spans="34:37" x14ac:dyDescent="0.2">
      <c r="AH354" s="15"/>
      <c r="AI354" s="15"/>
      <c r="AJ354" s="41"/>
      <c r="AK354" s="41"/>
    </row>
    <row r="355" spans="34:37" x14ac:dyDescent="0.2">
      <c r="AH355" s="15"/>
      <c r="AI355" s="15"/>
      <c r="AJ355" s="41"/>
      <c r="AK355" s="41"/>
    </row>
    <row r="356" spans="34:37" x14ac:dyDescent="0.2">
      <c r="AH356" s="15"/>
      <c r="AI356" s="15"/>
      <c r="AJ356" s="41"/>
      <c r="AK356" s="41"/>
    </row>
    <row r="357" spans="34:37" x14ac:dyDescent="0.2">
      <c r="AH357" s="15"/>
      <c r="AI357" s="15"/>
      <c r="AJ357" s="41"/>
      <c r="AK357" s="41"/>
    </row>
    <row r="358" spans="34:37" x14ac:dyDescent="0.2">
      <c r="AH358" s="15"/>
      <c r="AI358" s="15"/>
      <c r="AJ358" s="41"/>
      <c r="AK358" s="41"/>
    </row>
    <row r="359" spans="34:37" x14ac:dyDescent="0.2">
      <c r="AH359" s="15"/>
      <c r="AI359" s="15"/>
      <c r="AJ359" s="41"/>
      <c r="AK359" s="41"/>
    </row>
    <row r="360" spans="34:37" x14ac:dyDescent="0.2">
      <c r="AH360" s="15"/>
      <c r="AI360" s="15"/>
      <c r="AJ360" s="41"/>
      <c r="AK360" s="41"/>
    </row>
    <row r="361" spans="34:37" x14ac:dyDescent="0.2">
      <c r="AH361" s="15"/>
      <c r="AI361" s="15"/>
      <c r="AJ361" s="41"/>
      <c r="AK361" s="41"/>
    </row>
    <row r="362" spans="34:37" x14ac:dyDescent="0.2">
      <c r="AH362" s="15"/>
      <c r="AI362" s="15"/>
      <c r="AJ362" s="41"/>
      <c r="AK362" s="41"/>
    </row>
    <row r="363" spans="34:37" x14ac:dyDescent="0.2">
      <c r="AH363" s="15"/>
      <c r="AI363" s="15"/>
      <c r="AJ363" s="41"/>
      <c r="AK363" s="41"/>
    </row>
    <row r="364" spans="34:37" x14ac:dyDescent="0.2">
      <c r="AH364" s="15"/>
      <c r="AI364" s="15"/>
      <c r="AJ364" s="41"/>
      <c r="AK364" s="41"/>
    </row>
    <row r="365" spans="34:37" x14ac:dyDescent="0.2">
      <c r="AH365" s="15"/>
      <c r="AI365" s="15"/>
      <c r="AJ365" s="41"/>
      <c r="AK365" s="41"/>
    </row>
    <row r="366" spans="34:37" x14ac:dyDescent="0.2">
      <c r="AH366" s="15"/>
      <c r="AI366" s="15"/>
      <c r="AJ366" s="41"/>
      <c r="AK366" s="41"/>
    </row>
    <row r="367" spans="34:37" x14ac:dyDescent="0.2">
      <c r="AH367" s="15"/>
      <c r="AI367" s="15"/>
      <c r="AJ367" s="41"/>
      <c r="AK367" s="41"/>
    </row>
    <row r="368" spans="34:37" x14ac:dyDescent="0.2">
      <c r="AH368" s="15"/>
      <c r="AI368" s="15"/>
      <c r="AJ368" s="41"/>
      <c r="AK368" s="41"/>
    </row>
    <row r="369" spans="34:37" x14ac:dyDescent="0.2">
      <c r="AH369" s="15"/>
      <c r="AI369" s="15"/>
      <c r="AJ369" s="41"/>
      <c r="AK369" s="41"/>
    </row>
    <row r="370" spans="34:37" x14ac:dyDescent="0.2">
      <c r="AH370" s="15"/>
      <c r="AI370" s="15"/>
      <c r="AJ370" s="41"/>
      <c r="AK370" s="41"/>
    </row>
    <row r="371" spans="34:37" x14ac:dyDescent="0.2">
      <c r="AH371" s="15"/>
      <c r="AI371" s="15"/>
      <c r="AJ371" s="41"/>
      <c r="AK371" s="41"/>
    </row>
    <row r="372" spans="34:37" x14ac:dyDescent="0.2">
      <c r="AH372" s="15"/>
      <c r="AI372" s="15"/>
      <c r="AJ372" s="41"/>
      <c r="AK372" s="41"/>
    </row>
    <row r="373" spans="34:37" x14ac:dyDescent="0.2">
      <c r="AH373" s="15"/>
      <c r="AI373" s="15"/>
      <c r="AJ373" s="41"/>
      <c r="AK373" s="41"/>
    </row>
    <row r="374" spans="34:37" x14ac:dyDescent="0.2">
      <c r="AH374" s="15"/>
      <c r="AI374" s="15"/>
      <c r="AJ374" s="41"/>
      <c r="AK374" s="41"/>
    </row>
    <row r="375" spans="34:37" x14ac:dyDescent="0.2">
      <c r="AH375" s="15"/>
      <c r="AI375" s="15"/>
      <c r="AJ375" s="41"/>
      <c r="AK375" s="41"/>
    </row>
    <row r="376" spans="34:37" x14ac:dyDescent="0.2">
      <c r="AH376" s="15"/>
      <c r="AI376" s="15"/>
      <c r="AJ376" s="41"/>
      <c r="AK376" s="41"/>
    </row>
    <row r="377" spans="34:37" x14ac:dyDescent="0.2">
      <c r="AH377" s="15"/>
      <c r="AI377" s="15"/>
      <c r="AJ377" s="41"/>
      <c r="AK377" s="41"/>
    </row>
    <row r="378" spans="34:37" x14ac:dyDescent="0.2">
      <c r="AH378" s="15"/>
      <c r="AI378" s="15"/>
      <c r="AJ378" s="41"/>
      <c r="AK378" s="41"/>
    </row>
    <row r="379" spans="34:37" x14ac:dyDescent="0.2">
      <c r="AH379" s="15"/>
      <c r="AI379" s="15"/>
      <c r="AJ379" s="41"/>
      <c r="AK379" s="41"/>
    </row>
    <row r="380" spans="34:37" x14ac:dyDescent="0.2">
      <c r="AH380" s="15"/>
      <c r="AI380" s="15"/>
      <c r="AJ380" s="41"/>
      <c r="AK380" s="41"/>
    </row>
    <row r="381" spans="34:37" x14ac:dyDescent="0.2">
      <c r="AH381" s="15"/>
      <c r="AI381" s="15"/>
      <c r="AJ381" s="41"/>
      <c r="AK381" s="41"/>
    </row>
    <row r="382" spans="34:37" x14ac:dyDescent="0.2">
      <c r="AH382" s="15"/>
      <c r="AI382" s="15"/>
      <c r="AJ382" s="41"/>
      <c r="AK382" s="41"/>
    </row>
    <row r="383" spans="34:37" x14ac:dyDescent="0.2">
      <c r="AH383" s="15"/>
      <c r="AI383" s="15"/>
      <c r="AJ383" s="41"/>
      <c r="AK383" s="41"/>
    </row>
    <row r="384" spans="34:37" x14ac:dyDescent="0.2">
      <c r="AH384" s="15"/>
      <c r="AI384" s="15"/>
      <c r="AJ384" s="41"/>
      <c r="AK384" s="41"/>
    </row>
    <row r="385" spans="34:37" x14ac:dyDescent="0.2">
      <c r="AH385" s="15"/>
      <c r="AI385" s="15"/>
      <c r="AJ385" s="41"/>
      <c r="AK385" s="41"/>
    </row>
    <row r="386" spans="34:37" x14ac:dyDescent="0.2">
      <c r="AH386" s="15"/>
      <c r="AI386" s="15"/>
      <c r="AJ386" s="41"/>
      <c r="AK386" s="41"/>
    </row>
    <row r="387" spans="34:37" x14ac:dyDescent="0.2">
      <c r="AH387" s="15"/>
      <c r="AI387" s="15"/>
      <c r="AJ387" s="41"/>
      <c r="AK387" s="41"/>
    </row>
    <row r="388" spans="34:37" x14ac:dyDescent="0.2">
      <c r="AH388" s="15"/>
      <c r="AI388" s="15"/>
      <c r="AJ388" s="41"/>
      <c r="AK388" s="41"/>
    </row>
    <row r="389" spans="34:37" x14ac:dyDescent="0.2">
      <c r="AH389" s="15"/>
      <c r="AI389" s="15"/>
      <c r="AJ389" s="41"/>
      <c r="AK389" s="41"/>
    </row>
    <row r="390" spans="34:37" x14ac:dyDescent="0.2">
      <c r="AH390" s="15"/>
      <c r="AI390" s="15"/>
      <c r="AJ390" s="41"/>
      <c r="AK390" s="41"/>
    </row>
    <row r="391" spans="34:37" x14ac:dyDescent="0.2">
      <c r="AH391" s="15"/>
      <c r="AI391" s="15"/>
      <c r="AJ391" s="41"/>
      <c r="AK391" s="41"/>
    </row>
    <row r="392" spans="34:37" x14ac:dyDescent="0.2">
      <c r="AH392" s="15"/>
      <c r="AI392" s="15"/>
      <c r="AJ392" s="41"/>
      <c r="AK392" s="41"/>
    </row>
    <row r="393" spans="34:37" x14ac:dyDescent="0.2">
      <c r="AH393" s="15"/>
      <c r="AI393" s="15"/>
      <c r="AJ393" s="41"/>
      <c r="AK393" s="41"/>
    </row>
    <row r="394" spans="34:37" x14ac:dyDescent="0.2">
      <c r="AH394" s="15"/>
      <c r="AI394" s="15"/>
      <c r="AJ394" s="41"/>
      <c r="AK394" s="41"/>
    </row>
    <row r="395" spans="34:37" x14ac:dyDescent="0.2">
      <c r="AH395" s="15"/>
      <c r="AI395" s="15"/>
      <c r="AJ395" s="41"/>
      <c r="AK395" s="41"/>
    </row>
    <row r="396" spans="34:37" x14ac:dyDescent="0.2">
      <c r="AH396" s="15"/>
      <c r="AI396" s="15"/>
      <c r="AJ396" s="41"/>
      <c r="AK396" s="41"/>
    </row>
    <row r="397" spans="34:37" x14ac:dyDescent="0.2">
      <c r="AH397" s="15"/>
      <c r="AI397" s="15"/>
      <c r="AJ397" s="41"/>
      <c r="AK397" s="41"/>
    </row>
    <row r="398" spans="34:37" x14ac:dyDescent="0.2">
      <c r="AH398" s="15"/>
      <c r="AI398" s="15"/>
      <c r="AJ398" s="41"/>
      <c r="AK398" s="41"/>
    </row>
    <row r="399" spans="34:37" x14ac:dyDescent="0.2">
      <c r="AH399" s="15"/>
      <c r="AI399" s="15"/>
      <c r="AJ399" s="41"/>
      <c r="AK399" s="41"/>
    </row>
    <row r="400" spans="34:37" x14ac:dyDescent="0.2">
      <c r="AH400" s="15"/>
      <c r="AI400" s="15"/>
      <c r="AJ400" s="41"/>
      <c r="AK400" s="41"/>
    </row>
    <row r="401" spans="34:37" x14ac:dyDescent="0.2">
      <c r="AH401" s="15"/>
      <c r="AI401" s="15"/>
      <c r="AJ401" s="41"/>
      <c r="AK401" s="41"/>
    </row>
    <row r="402" spans="34:37" x14ac:dyDescent="0.2">
      <c r="AH402" s="15"/>
      <c r="AI402" s="15"/>
      <c r="AJ402" s="41"/>
      <c r="AK402" s="41"/>
    </row>
    <row r="403" spans="34:37" x14ac:dyDescent="0.2">
      <c r="AH403" s="15"/>
      <c r="AI403" s="15"/>
      <c r="AJ403" s="41"/>
      <c r="AK403" s="41"/>
    </row>
    <row r="404" spans="34:37" x14ac:dyDescent="0.2">
      <c r="AH404" s="15"/>
      <c r="AI404" s="15"/>
      <c r="AJ404" s="41"/>
      <c r="AK404" s="41"/>
    </row>
    <row r="405" spans="34:37" x14ac:dyDescent="0.2">
      <c r="AH405" s="15"/>
      <c r="AI405" s="15"/>
      <c r="AJ405" s="41"/>
      <c r="AK405" s="41"/>
    </row>
    <row r="406" spans="34:37" x14ac:dyDescent="0.2">
      <c r="AH406" s="15"/>
      <c r="AI406" s="15"/>
      <c r="AJ406" s="41"/>
      <c r="AK406" s="41"/>
    </row>
    <row r="407" spans="34:37" x14ac:dyDescent="0.2">
      <c r="AH407" s="15"/>
      <c r="AI407" s="15"/>
      <c r="AJ407" s="41"/>
      <c r="AK407" s="41"/>
    </row>
    <row r="408" spans="34:37" x14ac:dyDescent="0.2">
      <c r="AH408" s="15"/>
      <c r="AI408" s="15"/>
      <c r="AJ408" s="41"/>
      <c r="AK408" s="41"/>
    </row>
    <row r="409" spans="34:37" x14ac:dyDescent="0.2">
      <c r="AH409" s="15"/>
      <c r="AI409" s="15"/>
      <c r="AJ409" s="41"/>
      <c r="AK409" s="41"/>
    </row>
    <row r="410" spans="34:37" x14ac:dyDescent="0.2">
      <c r="AH410" s="15"/>
      <c r="AI410" s="15"/>
      <c r="AJ410" s="41"/>
      <c r="AK410" s="41"/>
    </row>
    <row r="411" spans="34:37" x14ac:dyDescent="0.2">
      <c r="AH411" s="15"/>
      <c r="AI411" s="15"/>
      <c r="AJ411" s="41"/>
      <c r="AK411" s="41"/>
    </row>
    <row r="412" spans="34:37" x14ac:dyDescent="0.2">
      <c r="AH412" s="15"/>
      <c r="AI412" s="15"/>
      <c r="AJ412" s="41"/>
      <c r="AK412" s="41"/>
    </row>
    <row r="413" spans="34:37" x14ac:dyDescent="0.2">
      <c r="AH413" s="15"/>
      <c r="AI413" s="15"/>
      <c r="AJ413" s="41"/>
      <c r="AK413" s="41"/>
    </row>
    <row r="414" spans="34:37" x14ac:dyDescent="0.2">
      <c r="AH414" s="15"/>
      <c r="AI414" s="15"/>
      <c r="AJ414" s="41"/>
      <c r="AK414" s="41"/>
    </row>
    <row r="415" spans="34:37" x14ac:dyDescent="0.2">
      <c r="AH415" s="15"/>
      <c r="AI415" s="15"/>
      <c r="AJ415" s="41"/>
      <c r="AK415" s="41"/>
    </row>
    <row r="416" spans="34:37" x14ac:dyDescent="0.2">
      <c r="AH416" s="15"/>
      <c r="AI416" s="15"/>
      <c r="AJ416" s="41"/>
      <c r="AK416" s="41"/>
    </row>
    <row r="417" spans="34:37" x14ac:dyDescent="0.2">
      <c r="AH417" s="15"/>
      <c r="AI417" s="15"/>
      <c r="AJ417" s="41"/>
      <c r="AK417" s="41"/>
    </row>
    <row r="418" spans="34:37" x14ac:dyDescent="0.2">
      <c r="AH418" s="15"/>
      <c r="AI418" s="15"/>
      <c r="AJ418" s="41"/>
      <c r="AK418" s="41"/>
    </row>
    <row r="419" spans="34:37" x14ac:dyDescent="0.2">
      <c r="AH419" s="15"/>
      <c r="AI419" s="15"/>
      <c r="AJ419" s="41"/>
      <c r="AK419" s="41"/>
    </row>
    <row r="420" spans="34:37" x14ac:dyDescent="0.2">
      <c r="AH420" s="15"/>
      <c r="AI420" s="15"/>
      <c r="AJ420" s="41"/>
      <c r="AK420" s="41"/>
    </row>
    <row r="421" spans="34:37" x14ac:dyDescent="0.2">
      <c r="AH421" s="15"/>
      <c r="AI421" s="15"/>
      <c r="AJ421" s="41"/>
      <c r="AK421" s="41"/>
    </row>
    <row r="422" spans="34:37" x14ac:dyDescent="0.2">
      <c r="AH422" s="15"/>
      <c r="AI422" s="15"/>
      <c r="AJ422" s="41"/>
      <c r="AK422" s="41"/>
    </row>
    <row r="423" spans="34:37" x14ac:dyDescent="0.2">
      <c r="AH423" s="15"/>
      <c r="AI423" s="15"/>
      <c r="AJ423" s="41"/>
      <c r="AK423" s="41"/>
    </row>
    <row r="424" spans="34:37" x14ac:dyDescent="0.2">
      <c r="AH424" s="15"/>
      <c r="AI424" s="15"/>
      <c r="AJ424" s="41"/>
      <c r="AK424" s="41"/>
    </row>
    <row r="425" spans="34:37" x14ac:dyDescent="0.2">
      <c r="AH425" s="15"/>
      <c r="AI425" s="15"/>
      <c r="AJ425" s="41"/>
      <c r="AK425" s="41"/>
    </row>
    <row r="426" spans="34:37" x14ac:dyDescent="0.2">
      <c r="AH426" s="15"/>
      <c r="AI426" s="15"/>
      <c r="AJ426" s="41"/>
      <c r="AK426" s="41"/>
    </row>
    <row r="427" spans="34:37" x14ac:dyDescent="0.2">
      <c r="AH427" s="15"/>
      <c r="AI427" s="15"/>
      <c r="AJ427" s="41"/>
      <c r="AK427" s="41"/>
    </row>
    <row r="428" spans="34:37" x14ac:dyDescent="0.2">
      <c r="AH428" s="15"/>
      <c r="AI428" s="15"/>
      <c r="AJ428" s="41"/>
      <c r="AK428" s="41"/>
    </row>
    <row r="429" spans="34:37" x14ac:dyDescent="0.2">
      <c r="AH429" s="15"/>
      <c r="AI429" s="15"/>
      <c r="AJ429" s="41"/>
      <c r="AK429" s="41"/>
    </row>
    <row r="430" spans="34:37" x14ac:dyDescent="0.2">
      <c r="AH430" s="15"/>
      <c r="AI430" s="15"/>
      <c r="AJ430" s="41"/>
      <c r="AK430" s="41"/>
    </row>
    <row r="431" spans="34:37" x14ac:dyDescent="0.2">
      <c r="AH431" s="15"/>
      <c r="AI431" s="15"/>
      <c r="AJ431" s="41"/>
      <c r="AK431" s="41"/>
    </row>
    <row r="432" spans="34:37" x14ac:dyDescent="0.2">
      <c r="AH432" s="15"/>
      <c r="AI432" s="15"/>
      <c r="AJ432" s="41"/>
      <c r="AK432" s="41"/>
    </row>
    <row r="433" spans="34:37" x14ac:dyDescent="0.2">
      <c r="AH433" s="15"/>
      <c r="AI433" s="15"/>
      <c r="AJ433" s="41"/>
      <c r="AK433" s="41"/>
    </row>
    <row r="434" spans="34:37" x14ac:dyDescent="0.2">
      <c r="AH434" s="15"/>
      <c r="AI434" s="15"/>
      <c r="AJ434" s="41"/>
      <c r="AK434" s="41"/>
    </row>
    <row r="435" spans="34:37" x14ac:dyDescent="0.2">
      <c r="AH435" s="15"/>
      <c r="AI435" s="15"/>
      <c r="AJ435" s="41"/>
      <c r="AK435" s="41"/>
    </row>
    <row r="436" spans="34:37" x14ac:dyDescent="0.2">
      <c r="AH436" s="15"/>
      <c r="AI436" s="15"/>
      <c r="AJ436" s="41"/>
      <c r="AK436" s="41"/>
    </row>
    <row r="437" spans="34:37" x14ac:dyDescent="0.2">
      <c r="AH437" s="15"/>
      <c r="AI437" s="15"/>
      <c r="AJ437" s="41"/>
      <c r="AK437" s="41"/>
    </row>
    <row r="438" spans="34:37" x14ac:dyDescent="0.2">
      <c r="AH438" s="15"/>
      <c r="AI438" s="15"/>
      <c r="AJ438" s="41"/>
      <c r="AK438" s="41"/>
    </row>
    <row r="439" spans="34:37" x14ac:dyDescent="0.2">
      <c r="AH439" s="15"/>
      <c r="AI439" s="15"/>
      <c r="AJ439" s="41"/>
      <c r="AK439" s="41"/>
    </row>
    <row r="440" spans="34:37" x14ac:dyDescent="0.2">
      <c r="AH440" s="15"/>
      <c r="AI440" s="15"/>
      <c r="AJ440" s="41"/>
      <c r="AK440" s="41"/>
    </row>
    <row r="441" spans="34:37" x14ac:dyDescent="0.2">
      <c r="AH441" s="15"/>
      <c r="AI441" s="15"/>
      <c r="AJ441" s="41"/>
      <c r="AK441" s="41"/>
    </row>
    <row r="442" spans="34:37" x14ac:dyDescent="0.2">
      <c r="AH442" s="15"/>
      <c r="AI442" s="15"/>
      <c r="AJ442" s="41"/>
      <c r="AK442" s="41"/>
    </row>
    <row r="443" spans="34:37" x14ac:dyDescent="0.2">
      <c r="AH443" s="15"/>
      <c r="AI443" s="15"/>
      <c r="AJ443" s="41"/>
      <c r="AK443" s="41"/>
    </row>
    <row r="444" spans="34:37" x14ac:dyDescent="0.2">
      <c r="AH444" s="15"/>
      <c r="AI444" s="15"/>
      <c r="AJ444" s="41"/>
      <c r="AK444" s="41"/>
    </row>
    <row r="445" spans="34:37" x14ac:dyDescent="0.2">
      <c r="AH445" s="15"/>
      <c r="AI445" s="15"/>
      <c r="AJ445" s="41"/>
      <c r="AK445" s="41"/>
    </row>
    <row r="446" spans="34:37" x14ac:dyDescent="0.2">
      <c r="AH446" s="15"/>
      <c r="AI446" s="15"/>
      <c r="AJ446" s="41"/>
      <c r="AK446" s="41"/>
    </row>
    <row r="447" spans="34:37" x14ac:dyDescent="0.2">
      <c r="AH447" s="15"/>
      <c r="AI447" s="15"/>
      <c r="AJ447" s="41"/>
      <c r="AK447" s="41"/>
    </row>
    <row r="448" spans="34:37" x14ac:dyDescent="0.2">
      <c r="AH448" s="15"/>
      <c r="AI448" s="15"/>
      <c r="AJ448" s="41"/>
      <c r="AK448" s="41"/>
    </row>
    <row r="449" spans="34:37" x14ac:dyDescent="0.2">
      <c r="AH449" s="15"/>
      <c r="AI449" s="15"/>
      <c r="AJ449" s="41"/>
      <c r="AK449" s="41"/>
    </row>
    <row r="450" spans="34:37" x14ac:dyDescent="0.2">
      <c r="AH450" s="15"/>
      <c r="AI450" s="15"/>
      <c r="AJ450" s="41"/>
      <c r="AK450" s="41"/>
    </row>
    <row r="451" spans="34:37" x14ac:dyDescent="0.2">
      <c r="AH451" s="15"/>
      <c r="AI451" s="15"/>
      <c r="AJ451" s="41"/>
      <c r="AK451" s="41"/>
    </row>
    <row r="452" spans="34:37" x14ac:dyDescent="0.2">
      <c r="AH452" s="15"/>
      <c r="AI452" s="15"/>
      <c r="AJ452" s="41"/>
      <c r="AK452" s="41"/>
    </row>
    <row r="453" spans="34:37" x14ac:dyDescent="0.2">
      <c r="AH453" s="15"/>
      <c r="AI453" s="15"/>
      <c r="AJ453" s="41"/>
      <c r="AK453" s="41"/>
    </row>
    <row r="454" spans="34:37" x14ac:dyDescent="0.2">
      <c r="AH454" s="15"/>
      <c r="AI454" s="15"/>
      <c r="AJ454" s="41"/>
      <c r="AK454" s="41"/>
    </row>
    <row r="455" spans="34:37" x14ac:dyDescent="0.2">
      <c r="AH455" s="15"/>
      <c r="AI455" s="15"/>
      <c r="AJ455" s="41"/>
      <c r="AK455" s="41"/>
    </row>
    <row r="456" spans="34:37" x14ac:dyDescent="0.2">
      <c r="AH456" s="15"/>
      <c r="AI456" s="15"/>
      <c r="AJ456" s="41"/>
      <c r="AK456" s="41"/>
    </row>
    <row r="457" spans="34:37" x14ac:dyDescent="0.2">
      <c r="AH457" s="15"/>
      <c r="AI457" s="15"/>
      <c r="AJ457" s="41"/>
      <c r="AK457" s="41"/>
    </row>
    <row r="458" spans="34:37" x14ac:dyDescent="0.2">
      <c r="AH458" s="15"/>
      <c r="AI458" s="15"/>
      <c r="AJ458" s="41"/>
      <c r="AK458" s="41"/>
    </row>
    <row r="459" spans="34:37" x14ac:dyDescent="0.2">
      <c r="AH459" s="15"/>
      <c r="AI459" s="15"/>
      <c r="AJ459" s="41"/>
      <c r="AK459" s="41"/>
    </row>
    <row r="460" spans="34:37" x14ac:dyDescent="0.2">
      <c r="AH460" s="15"/>
      <c r="AI460" s="15"/>
      <c r="AJ460" s="41"/>
      <c r="AK460" s="41"/>
    </row>
    <row r="461" spans="34:37" x14ac:dyDescent="0.2">
      <c r="AH461" s="15"/>
      <c r="AI461" s="15"/>
      <c r="AJ461" s="41"/>
      <c r="AK461" s="41"/>
    </row>
    <row r="462" spans="34:37" x14ac:dyDescent="0.2">
      <c r="AH462" s="15"/>
      <c r="AI462" s="15"/>
      <c r="AJ462" s="41"/>
      <c r="AK462" s="41"/>
    </row>
    <row r="463" spans="34:37" x14ac:dyDescent="0.2">
      <c r="AH463" s="15"/>
      <c r="AI463" s="15"/>
      <c r="AJ463" s="41"/>
      <c r="AK463" s="41"/>
    </row>
    <row r="464" spans="34:37" x14ac:dyDescent="0.2">
      <c r="AH464" s="15"/>
      <c r="AI464" s="15"/>
      <c r="AJ464" s="41"/>
      <c r="AK464" s="41"/>
    </row>
    <row r="465" spans="34:37" x14ac:dyDescent="0.2">
      <c r="AH465" s="15"/>
      <c r="AI465" s="15"/>
      <c r="AJ465" s="41"/>
      <c r="AK465" s="41"/>
    </row>
    <row r="466" spans="34:37" x14ac:dyDescent="0.2">
      <c r="AH466" s="15"/>
      <c r="AI466" s="15"/>
      <c r="AJ466" s="41"/>
      <c r="AK466" s="41"/>
    </row>
    <row r="467" spans="34:37" x14ac:dyDescent="0.2">
      <c r="AH467" s="15"/>
      <c r="AI467" s="15"/>
      <c r="AJ467" s="41"/>
      <c r="AK467" s="41"/>
    </row>
    <row r="468" spans="34:37" x14ac:dyDescent="0.2">
      <c r="AH468" s="15"/>
      <c r="AI468" s="15"/>
      <c r="AJ468" s="41"/>
      <c r="AK468" s="41"/>
    </row>
    <row r="469" spans="34:37" x14ac:dyDescent="0.2">
      <c r="AH469" s="15"/>
      <c r="AI469" s="15"/>
      <c r="AJ469" s="41"/>
      <c r="AK469" s="41"/>
    </row>
    <row r="470" spans="34:37" x14ac:dyDescent="0.2">
      <c r="AH470" s="15"/>
      <c r="AI470" s="15"/>
      <c r="AJ470" s="41"/>
      <c r="AK470" s="41"/>
    </row>
    <row r="471" spans="34:37" x14ac:dyDescent="0.2">
      <c r="AH471" s="15"/>
      <c r="AI471" s="15"/>
      <c r="AJ471" s="41"/>
      <c r="AK471" s="41"/>
    </row>
    <row r="472" spans="34:37" x14ac:dyDescent="0.2">
      <c r="AH472" s="15"/>
      <c r="AI472" s="15"/>
      <c r="AJ472" s="41"/>
      <c r="AK472" s="41"/>
    </row>
    <row r="473" spans="34:37" x14ac:dyDescent="0.2">
      <c r="AH473" s="15"/>
      <c r="AI473" s="15"/>
      <c r="AJ473" s="41"/>
      <c r="AK473" s="41"/>
    </row>
    <row r="474" spans="34:37" x14ac:dyDescent="0.2">
      <c r="AH474" s="15"/>
      <c r="AI474" s="15"/>
      <c r="AJ474" s="41"/>
      <c r="AK474" s="41"/>
    </row>
    <row r="475" spans="34:37" x14ac:dyDescent="0.2">
      <c r="AH475" s="15"/>
      <c r="AI475" s="15"/>
      <c r="AJ475" s="41"/>
      <c r="AK475" s="41"/>
    </row>
    <row r="476" spans="34:37" x14ac:dyDescent="0.2">
      <c r="AH476" s="15"/>
      <c r="AI476" s="15"/>
      <c r="AJ476" s="41"/>
      <c r="AK476" s="41"/>
    </row>
    <row r="477" spans="34:37" x14ac:dyDescent="0.2">
      <c r="AH477" s="15"/>
      <c r="AI477" s="15"/>
      <c r="AJ477" s="41"/>
      <c r="AK477" s="41"/>
    </row>
    <row r="478" spans="34:37" x14ac:dyDescent="0.2">
      <c r="AH478" s="15"/>
      <c r="AI478" s="15"/>
      <c r="AJ478" s="41"/>
      <c r="AK478" s="41"/>
    </row>
    <row r="479" spans="34:37" x14ac:dyDescent="0.2">
      <c r="AH479" s="15"/>
      <c r="AI479" s="15"/>
      <c r="AJ479" s="41"/>
      <c r="AK479" s="41"/>
    </row>
    <row r="480" spans="34:37" x14ac:dyDescent="0.2">
      <c r="AH480" s="15"/>
      <c r="AI480" s="15"/>
      <c r="AJ480" s="41"/>
      <c r="AK480" s="41"/>
    </row>
    <row r="481" spans="34:37" x14ac:dyDescent="0.2">
      <c r="AH481" s="15"/>
      <c r="AI481" s="15"/>
      <c r="AJ481" s="41"/>
      <c r="AK481" s="41"/>
    </row>
    <row r="482" spans="34:37" x14ac:dyDescent="0.2">
      <c r="AH482" s="15"/>
      <c r="AI482" s="15"/>
      <c r="AJ482" s="41"/>
      <c r="AK482" s="41"/>
    </row>
    <row r="483" spans="34:37" x14ac:dyDescent="0.2">
      <c r="AH483" s="15"/>
      <c r="AI483" s="15"/>
      <c r="AJ483" s="41"/>
      <c r="AK483" s="41"/>
    </row>
    <row r="484" spans="34:37" x14ac:dyDescent="0.2">
      <c r="AH484" s="15"/>
      <c r="AI484" s="15"/>
      <c r="AJ484" s="41"/>
      <c r="AK484" s="41"/>
    </row>
    <row r="485" spans="34:37" x14ac:dyDescent="0.2">
      <c r="AH485" s="15"/>
      <c r="AI485" s="15"/>
      <c r="AJ485" s="41"/>
      <c r="AK485" s="41"/>
    </row>
    <row r="486" spans="34:37" x14ac:dyDescent="0.2">
      <c r="AH486" s="15"/>
      <c r="AI486" s="15"/>
      <c r="AJ486" s="41"/>
      <c r="AK486" s="41"/>
    </row>
    <row r="487" spans="34:37" x14ac:dyDescent="0.2">
      <c r="AH487" s="15"/>
      <c r="AI487" s="15"/>
      <c r="AJ487" s="41"/>
      <c r="AK487" s="41"/>
    </row>
    <row r="488" spans="34:37" x14ac:dyDescent="0.2">
      <c r="AH488" s="15"/>
      <c r="AI488" s="15"/>
      <c r="AJ488" s="41"/>
      <c r="AK488" s="41"/>
    </row>
    <row r="489" spans="34:37" x14ac:dyDescent="0.2">
      <c r="AH489" s="15"/>
      <c r="AI489" s="15"/>
      <c r="AJ489" s="41"/>
      <c r="AK489" s="41"/>
    </row>
    <row r="490" spans="34:37" x14ac:dyDescent="0.2">
      <c r="AH490" s="15"/>
      <c r="AI490" s="15"/>
      <c r="AJ490" s="41"/>
      <c r="AK490" s="41"/>
    </row>
    <row r="491" spans="34:37" x14ac:dyDescent="0.2">
      <c r="AH491" s="15"/>
      <c r="AI491" s="15"/>
      <c r="AJ491" s="41"/>
      <c r="AK491" s="41"/>
    </row>
    <row r="492" spans="34:37" x14ac:dyDescent="0.2">
      <c r="AH492" s="15"/>
      <c r="AI492" s="15"/>
      <c r="AJ492" s="41"/>
      <c r="AK492" s="41"/>
    </row>
    <row r="493" spans="34:37" x14ac:dyDescent="0.2">
      <c r="AH493" s="15"/>
      <c r="AI493" s="15"/>
      <c r="AJ493" s="41"/>
      <c r="AK493" s="41"/>
    </row>
    <row r="494" spans="34:37" x14ac:dyDescent="0.2">
      <c r="AH494" s="15"/>
      <c r="AI494" s="15"/>
      <c r="AJ494" s="41"/>
      <c r="AK494" s="41"/>
    </row>
    <row r="495" spans="34:37" x14ac:dyDescent="0.2">
      <c r="AH495" s="15"/>
      <c r="AI495" s="15"/>
      <c r="AJ495" s="41"/>
      <c r="AK495" s="41"/>
    </row>
    <row r="496" spans="34:37" x14ac:dyDescent="0.2">
      <c r="AH496" s="15"/>
      <c r="AI496" s="15"/>
      <c r="AJ496" s="41"/>
      <c r="AK496" s="41"/>
    </row>
    <row r="497" spans="34:37" x14ac:dyDescent="0.2">
      <c r="AH497" s="15"/>
      <c r="AI497" s="15"/>
      <c r="AJ497" s="41"/>
      <c r="AK497" s="41"/>
    </row>
    <row r="498" spans="34:37" x14ac:dyDescent="0.2">
      <c r="AH498" s="15"/>
      <c r="AI498" s="15"/>
      <c r="AJ498" s="41"/>
      <c r="AK498" s="41"/>
    </row>
    <row r="499" spans="34:37" x14ac:dyDescent="0.2">
      <c r="AH499" s="15"/>
      <c r="AI499" s="15"/>
      <c r="AJ499" s="41"/>
      <c r="AK499" s="41"/>
    </row>
    <row r="500" spans="34:37" x14ac:dyDescent="0.2">
      <c r="AH500" s="15"/>
      <c r="AI500" s="15"/>
      <c r="AJ500" s="41"/>
      <c r="AK500" s="41"/>
    </row>
    <row r="501" spans="34:37" x14ac:dyDescent="0.2">
      <c r="AH501" s="15"/>
      <c r="AI501" s="15"/>
      <c r="AJ501" s="41"/>
      <c r="AK501" s="41"/>
    </row>
    <row r="502" spans="34:37" x14ac:dyDescent="0.2">
      <c r="AH502" s="15"/>
      <c r="AI502" s="15"/>
      <c r="AJ502" s="41"/>
      <c r="AK502" s="41"/>
    </row>
    <row r="503" spans="34:37" x14ac:dyDescent="0.2">
      <c r="AH503" s="15"/>
      <c r="AI503" s="15"/>
      <c r="AJ503" s="41"/>
      <c r="AK503" s="41"/>
    </row>
    <row r="504" spans="34:37" x14ac:dyDescent="0.2">
      <c r="AH504" s="15"/>
      <c r="AI504" s="15"/>
      <c r="AJ504" s="41"/>
      <c r="AK504" s="41"/>
    </row>
    <row r="505" spans="34:37" x14ac:dyDescent="0.2">
      <c r="AH505" s="15"/>
      <c r="AI505" s="15"/>
      <c r="AJ505" s="41"/>
      <c r="AK505" s="41"/>
    </row>
    <row r="506" spans="34:37" x14ac:dyDescent="0.2">
      <c r="AH506" s="15"/>
      <c r="AI506" s="15"/>
      <c r="AJ506" s="41"/>
      <c r="AK506" s="41"/>
    </row>
    <row r="507" spans="34:37" x14ac:dyDescent="0.2">
      <c r="AH507" s="15"/>
      <c r="AI507" s="15"/>
      <c r="AJ507" s="41"/>
      <c r="AK507" s="41"/>
    </row>
    <row r="508" spans="34:37" x14ac:dyDescent="0.2">
      <c r="AH508" s="15"/>
      <c r="AI508" s="15"/>
      <c r="AJ508" s="41"/>
      <c r="AK508" s="41"/>
    </row>
    <row r="509" spans="34:37" x14ac:dyDescent="0.2">
      <c r="AH509" s="15"/>
      <c r="AI509" s="15"/>
      <c r="AJ509" s="41"/>
      <c r="AK509" s="41"/>
    </row>
    <row r="510" spans="34:37" x14ac:dyDescent="0.2">
      <c r="AH510" s="15"/>
      <c r="AI510" s="15"/>
      <c r="AJ510" s="41"/>
      <c r="AK510" s="41"/>
    </row>
    <row r="511" spans="34:37" x14ac:dyDescent="0.2">
      <c r="AH511" s="15"/>
      <c r="AI511" s="15"/>
      <c r="AJ511" s="41"/>
      <c r="AK511" s="41"/>
    </row>
    <row r="512" spans="34:37" x14ac:dyDescent="0.2">
      <c r="AH512" s="15"/>
      <c r="AI512" s="15"/>
      <c r="AJ512" s="41"/>
      <c r="AK512" s="41"/>
    </row>
    <row r="513" spans="34:37" x14ac:dyDescent="0.2">
      <c r="AH513" s="15"/>
      <c r="AI513" s="15"/>
      <c r="AJ513" s="41"/>
      <c r="AK513" s="41"/>
    </row>
    <row r="514" spans="34:37" x14ac:dyDescent="0.2">
      <c r="AH514" s="15"/>
      <c r="AI514" s="15"/>
      <c r="AJ514" s="41"/>
      <c r="AK514" s="41"/>
    </row>
    <row r="515" spans="34:37" x14ac:dyDescent="0.2">
      <c r="AH515" s="15"/>
      <c r="AI515" s="15"/>
      <c r="AJ515" s="41"/>
      <c r="AK515" s="41"/>
    </row>
    <row r="516" spans="34:37" x14ac:dyDescent="0.2">
      <c r="AH516" s="15"/>
      <c r="AI516" s="15"/>
      <c r="AJ516" s="41"/>
      <c r="AK516" s="41"/>
    </row>
    <row r="517" spans="34:37" x14ac:dyDescent="0.2">
      <c r="AH517" s="15"/>
      <c r="AI517" s="15"/>
      <c r="AJ517" s="41"/>
      <c r="AK517" s="41"/>
    </row>
    <row r="518" spans="34:37" x14ac:dyDescent="0.2">
      <c r="AH518" s="15"/>
      <c r="AI518" s="15"/>
      <c r="AJ518" s="41"/>
      <c r="AK518" s="41"/>
    </row>
    <row r="519" spans="34:37" x14ac:dyDescent="0.2">
      <c r="AH519" s="15"/>
      <c r="AI519" s="15"/>
      <c r="AJ519" s="41"/>
      <c r="AK519" s="41"/>
    </row>
    <row r="520" spans="34:37" x14ac:dyDescent="0.2">
      <c r="AH520" s="15"/>
      <c r="AI520" s="15"/>
      <c r="AJ520" s="41"/>
      <c r="AK520" s="41"/>
    </row>
    <row r="521" spans="34:37" x14ac:dyDescent="0.2">
      <c r="AH521" s="15"/>
      <c r="AI521" s="15"/>
      <c r="AJ521" s="41"/>
      <c r="AK521" s="41"/>
    </row>
    <row r="522" spans="34:37" x14ac:dyDescent="0.2">
      <c r="AH522" s="15"/>
      <c r="AI522" s="15"/>
      <c r="AJ522" s="41"/>
      <c r="AK522" s="41"/>
    </row>
    <row r="523" spans="34:37" x14ac:dyDescent="0.2">
      <c r="AH523" s="15"/>
      <c r="AI523" s="15"/>
      <c r="AJ523" s="41"/>
      <c r="AK523" s="41"/>
    </row>
    <row r="524" spans="34:37" x14ac:dyDescent="0.2">
      <c r="AH524" s="15"/>
      <c r="AI524" s="15"/>
      <c r="AJ524" s="41"/>
      <c r="AK524" s="41"/>
    </row>
    <row r="525" spans="34:37" x14ac:dyDescent="0.2">
      <c r="AH525" s="15"/>
      <c r="AI525" s="15"/>
      <c r="AJ525" s="41"/>
      <c r="AK525" s="41"/>
    </row>
    <row r="526" spans="34:37" x14ac:dyDescent="0.2">
      <c r="AH526" s="15"/>
      <c r="AI526" s="15"/>
      <c r="AJ526" s="41"/>
      <c r="AK526" s="41"/>
    </row>
    <row r="527" spans="34:37" x14ac:dyDescent="0.2">
      <c r="AH527" s="15"/>
      <c r="AI527" s="15"/>
      <c r="AJ527" s="41"/>
      <c r="AK527" s="41"/>
    </row>
    <row r="528" spans="34:37" x14ac:dyDescent="0.2">
      <c r="AH528" s="15"/>
      <c r="AI528" s="15"/>
      <c r="AJ528" s="41"/>
      <c r="AK528" s="41"/>
    </row>
    <row r="529" spans="34:37" x14ac:dyDescent="0.2">
      <c r="AH529" s="15"/>
      <c r="AI529" s="15"/>
      <c r="AJ529" s="41"/>
      <c r="AK529" s="41"/>
    </row>
    <row r="530" spans="34:37" x14ac:dyDescent="0.2">
      <c r="AH530" s="15"/>
      <c r="AI530" s="15"/>
      <c r="AJ530" s="41"/>
      <c r="AK530" s="41"/>
    </row>
    <row r="531" spans="34:37" x14ac:dyDescent="0.2">
      <c r="AH531" s="15"/>
      <c r="AI531" s="15"/>
      <c r="AJ531" s="41"/>
      <c r="AK531" s="41"/>
    </row>
    <row r="532" spans="34:37" x14ac:dyDescent="0.2">
      <c r="AH532" s="15"/>
      <c r="AI532" s="15"/>
      <c r="AJ532" s="41"/>
      <c r="AK532" s="41"/>
    </row>
    <row r="533" spans="34:37" x14ac:dyDescent="0.2">
      <c r="AH533" s="15"/>
      <c r="AI533" s="15"/>
      <c r="AJ533" s="41"/>
      <c r="AK533" s="41"/>
    </row>
    <row r="534" spans="34:37" x14ac:dyDescent="0.2">
      <c r="AH534" s="15"/>
      <c r="AI534" s="15"/>
      <c r="AJ534" s="41"/>
      <c r="AK534" s="41"/>
    </row>
    <row r="535" spans="34:37" x14ac:dyDescent="0.2">
      <c r="AH535" s="15"/>
      <c r="AI535" s="15"/>
      <c r="AJ535" s="41"/>
      <c r="AK535" s="41"/>
    </row>
    <row r="536" spans="34:37" x14ac:dyDescent="0.2">
      <c r="AH536" s="15"/>
      <c r="AI536" s="15"/>
      <c r="AJ536" s="41"/>
      <c r="AK536" s="41"/>
    </row>
    <row r="537" spans="34:37" x14ac:dyDescent="0.2">
      <c r="AH537" s="15"/>
      <c r="AI537" s="15"/>
      <c r="AJ537" s="41"/>
      <c r="AK537" s="41"/>
    </row>
    <row r="538" spans="34:37" x14ac:dyDescent="0.2">
      <c r="AH538" s="15"/>
      <c r="AI538" s="15"/>
      <c r="AJ538" s="41"/>
      <c r="AK538" s="41"/>
    </row>
    <row r="539" spans="34:37" x14ac:dyDescent="0.2">
      <c r="AH539" s="15"/>
      <c r="AI539" s="15"/>
      <c r="AJ539" s="41"/>
      <c r="AK539" s="41"/>
    </row>
    <row r="540" spans="34:37" x14ac:dyDescent="0.2">
      <c r="AH540" s="15"/>
      <c r="AI540" s="15"/>
      <c r="AJ540" s="41"/>
      <c r="AK540" s="41"/>
    </row>
    <row r="541" spans="34:37" x14ac:dyDescent="0.2">
      <c r="AH541" s="15"/>
      <c r="AI541" s="15"/>
      <c r="AJ541" s="41"/>
      <c r="AK541" s="41"/>
    </row>
    <row r="542" spans="34:37" x14ac:dyDescent="0.2">
      <c r="AH542" s="15"/>
      <c r="AI542" s="15"/>
      <c r="AJ542" s="41"/>
      <c r="AK542" s="41"/>
    </row>
    <row r="543" spans="34:37" x14ac:dyDescent="0.2">
      <c r="AH543" s="15"/>
      <c r="AI543" s="15"/>
      <c r="AJ543" s="41"/>
      <c r="AK543" s="41"/>
    </row>
    <row r="544" spans="34:37" x14ac:dyDescent="0.2">
      <c r="AH544" s="15"/>
      <c r="AI544" s="15"/>
      <c r="AJ544" s="41"/>
      <c r="AK544" s="41"/>
    </row>
    <row r="545" spans="34:37" x14ac:dyDescent="0.2">
      <c r="AH545" s="15"/>
      <c r="AI545" s="15"/>
      <c r="AJ545" s="41"/>
      <c r="AK545" s="41"/>
    </row>
    <row r="546" spans="34:37" x14ac:dyDescent="0.2">
      <c r="AH546" s="15"/>
      <c r="AI546" s="15"/>
      <c r="AJ546" s="41"/>
      <c r="AK546" s="41"/>
    </row>
    <row r="547" spans="34:37" x14ac:dyDescent="0.2">
      <c r="AH547" s="15"/>
      <c r="AI547" s="15"/>
      <c r="AJ547" s="41"/>
      <c r="AK547" s="41"/>
    </row>
    <row r="548" spans="34:37" x14ac:dyDescent="0.2">
      <c r="AH548" s="15"/>
      <c r="AI548" s="15"/>
      <c r="AJ548" s="41"/>
      <c r="AK548" s="41"/>
    </row>
    <row r="549" spans="34:37" x14ac:dyDescent="0.2">
      <c r="AH549" s="15"/>
      <c r="AI549" s="15"/>
      <c r="AJ549" s="41"/>
      <c r="AK549" s="41"/>
    </row>
    <row r="550" spans="34:37" x14ac:dyDescent="0.2">
      <c r="AH550" s="15"/>
      <c r="AI550" s="15"/>
      <c r="AJ550" s="41"/>
      <c r="AK550" s="41"/>
    </row>
    <row r="551" spans="34:37" x14ac:dyDescent="0.2">
      <c r="AH551" s="15"/>
      <c r="AI551" s="15"/>
      <c r="AJ551" s="41"/>
      <c r="AK551" s="41"/>
    </row>
    <row r="552" spans="34:37" x14ac:dyDescent="0.2">
      <c r="AH552" s="15"/>
      <c r="AI552" s="15"/>
      <c r="AJ552" s="41"/>
      <c r="AK552" s="41"/>
    </row>
    <row r="553" spans="34:37" x14ac:dyDescent="0.2">
      <c r="AH553" s="15"/>
      <c r="AI553" s="15"/>
      <c r="AJ553" s="41"/>
      <c r="AK553" s="41"/>
    </row>
    <row r="554" spans="34:37" x14ac:dyDescent="0.2">
      <c r="AH554" s="15"/>
      <c r="AI554" s="15"/>
      <c r="AJ554" s="41"/>
      <c r="AK554" s="41"/>
    </row>
    <row r="555" spans="34:37" x14ac:dyDescent="0.2">
      <c r="AH555" s="15"/>
      <c r="AI555" s="15"/>
      <c r="AJ555" s="41"/>
      <c r="AK555" s="41"/>
    </row>
    <row r="556" spans="34:37" x14ac:dyDescent="0.2">
      <c r="AH556" s="15"/>
      <c r="AI556" s="15"/>
      <c r="AJ556" s="41"/>
      <c r="AK556" s="41"/>
    </row>
    <row r="557" spans="34:37" x14ac:dyDescent="0.2">
      <c r="AH557" s="15"/>
      <c r="AI557" s="15"/>
      <c r="AJ557" s="41"/>
      <c r="AK557" s="41"/>
    </row>
    <row r="558" spans="34:37" x14ac:dyDescent="0.2">
      <c r="AH558" s="15"/>
      <c r="AI558" s="15"/>
      <c r="AJ558" s="41"/>
      <c r="AK558" s="41"/>
    </row>
    <row r="559" spans="34:37" x14ac:dyDescent="0.2">
      <c r="AH559" s="15"/>
      <c r="AI559" s="15"/>
      <c r="AJ559" s="41"/>
      <c r="AK559" s="41"/>
    </row>
    <row r="560" spans="34:37" x14ac:dyDescent="0.2">
      <c r="AH560" s="15"/>
      <c r="AI560" s="15"/>
      <c r="AJ560" s="41"/>
      <c r="AK560" s="41"/>
    </row>
    <row r="561" spans="34:37" x14ac:dyDescent="0.2">
      <c r="AH561" s="15"/>
      <c r="AI561" s="15"/>
      <c r="AJ561" s="41"/>
      <c r="AK561" s="41"/>
    </row>
    <row r="562" spans="34:37" x14ac:dyDescent="0.2">
      <c r="AH562" s="15"/>
      <c r="AI562" s="15"/>
      <c r="AJ562" s="41"/>
      <c r="AK562" s="41"/>
    </row>
    <row r="563" spans="34:37" x14ac:dyDescent="0.2">
      <c r="AH563" s="15"/>
      <c r="AI563" s="15"/>
      <c r="AJ563" s="41"/>
      <c r="AK563" s="41"/>
    </row>
    <row r="564" spans="34:37" x14ac:dyDescent="0.2">
      <c r="AH564" s="15"/>
      <c r="AI564" s="15"/>
      <c r="AJ564" s="41"/>
      <c r="AK564" s="41"/>
    </row>
    <row r="565" spans="34:37" x14ac:dyDescent="0.2">
      <c r="AH565" s="15"/>
      <c r="AI565" s="15"/>
      <c r="AJ565" s="41"/>
      <c r="AK565" s="41"/>
    </row>
    <row r="566" spans="34:37" x14ac:dyDescent="0.2">
      <c r="AH566" s="15"/>
      <c r="AI566" s="15"/>
      <c r="AJ566" s="41"/>
      <c r="AK566" s="41"/>
    </row>
    <row r="567" spans="34:37" x14ac:dyDescent="0.2">
      <c r="AH567" s="15"/>
      <c r="AI567" s="15"/>
      <c r="AJ567" s="41"/>
      <c r="AK567" s="41"/>
    </row>
    <row r="568" spans="34:37" x14ac:dyDescent="0.2">
      <c r="AH568" s="15"/>
      <c r="AI568" s="15"/>
      <c r="AJ568" s="41"/>
      <c r="AK568" s="41"/>
    </row>
    <row r="569" spans="34:37" x14ac:dyDescent="0.2">
      <c r="AH569" s="15"/>
      <c r="AI569" s="15"/>
      <c r="AJ569" s="41"/>
      <c r="AK569" s="41"/>
    </row>
    <row r="570" spans="34:37" x14ac:dyDescent="0.2">
      <c r="AH570" s="15"/>
      <c r="AI570" s="15"/>
      <c r="AJ570" s="41"/>
      <c r="AK570" s="41"/>
    </row>
    <row r="571" spans="34:37" x14ac:dyDescent="0.2">
      <c r="AH571" s="15"/>
      <c r="AI571" s="15"/>
      <c r="AJ571" s="41"/>
      <c r="AK571" s="41"/>
    </row>
    <row r="572" spans="34:37" x14ac:dyDescent="0.2">
      <c r="AH572" s="15"/>
      <c r="AI572" s="15"/>
      <c r="AJ572" s="41"/>
      <c r="AK572" s="41"/>
    </row>
    <row r="573" spans="34:37" x14ac:dyDescent="0.2">
      <c r="AH573" s="15"/>
      <c r="AI573" s="15"/>
      <c r="AJ573" s="41"/>
      <c r="AK573" s="41"/>
    </row>
    <row r="574" spans="34:37" x14ac:dyDescent="0.2">
      <c r="AH574" s="15"/>
      <c r="AI574" s="15"/>
      <c r="AJ574" s="41"/>
      <c r="AK574" s="41"/>
    </row>
    <row r="575" spans="34:37" x14ac:dyDescent="0.2">
      <c r="AH575" s="15"/>
      <c r="AI575" s="15"/>
      <c r="AJ575" s="41"/>
      <c r="AK575" s="41"/>
    </row>
    <row r="576" spans="34:37" x14ac:dyDescent="0.2">
      <c r="AH576" s="15"/>
      <c r="AI576" s="15"/>
      <c r="AJ576" s="41"/>
      <c r="AK576" s="41"/>
    </row>
    <row r="577" spans="34:37" x14ac:dyDescent="0.2">
      <c r="AH577" s="15"/>
      <c r="AI577" s="15"/>
      <c r="AJ577" s="41"/>
      <c r="AK577" s="41"/>
    </row>
    <row r="578" spans="34:37" x14ac:dyDescent="0.2">
      <c r="AH578" s="15"/>
      <c r="AI578" s="15"/>
      <c r="AJ578" s="41"/>
      <c r="AK578" s="41"/>
    </row>
    <row r="579" spans="34:37" x14ac:dyDescent="0.2">
      <c r="AH579" s="15"/>
      <c r="AI579" s="15"/>
      <c r="AJ579" s="41"/>
      <c r="AK579" s="41"/>
    </row>
    <row r="580" spans="34:37" x14ac:dyDescent="0.2">
      <c r="AH580" s="15"/>
      <c r="AI580" s="15"/>
      <c r="AJ580" s="41"/>
      <c r="AK580" s="41"/>
    </row>
    <row r="581" spans="34:37" x14ac:dyDescent="0.2">
      <c r="AH581" s="15"/>
      <c r="AI581" s="15"/>
      <c r="AJ581" s="15"/>
      <c r="AK581" s="15"/>
    </row>
    <row r="582" spans="34:37" x14ac:dyDescent="0.2">
      <c r="AH582" s="15"/>
      <c r="AI582" s="15"/>
      <c r="AJ582" s="15"/>
      <c r="AK582" s="15"/>
    </row>
    <row r="583" spans="34:37" x14ac:dyDescent="0.2">
      <c r="AH583" s="15"/>
      <c r="AI583" s="15"/>
      <c r="AJ583" s="15"/>
      <c r="AK583" s="15"/>
    </row>
    <row r="584" spans="34:37" x14ac:dyDescent="0.2">
      <c r="AH584" s="15"/>
      <c r="AI584" s="15"/>
      <c r="AJ584" s="15"/>
      <c r="AK584" s="15"/>
    </row>
    <row r="585" spans="34:37" x14ac:dyDescent="0.2">
      <c r="AH585" s="15"/>
      <c r="AI585" s="15"/>
      <c r="AJ585" s="15"/>
      <c r="AK585" s="15"/>
    </row>
    <row r="586" spans="34:37" x14ac:dyDescent="0.2">
      <c r="AH586" s="15"/>
      <c r="AI586" s="15"/>
      <c r="AJ586" s="15"/>
      <c r="AK586" s="15"/>
    </row>
    <row r="587" spans="34:37" x14ac:dyDescent="0.2">
      <c r="AH587" s="15"/>
      <c r="AI587" s="15"/>
      <c r="AJ587" s="15"/>
      <c r="AK587" s="15"/>
    </row>
    <row r="588" spans="34:37" x14ac:dyDescent="0.2">
      <c r="AH588" s="15"/>
      <c r="AI588" s="15"/>
      <c r="AJ588" s="15"/>
      <c r="AK588" s="15"/>
    </row>
    <row r="589" spans="34:37" x14ac:dyDescent="0.2">
      <c r="AH589" s="15"/>
      <c r="AI589" s="15"/>
      <c r="AJ589" s="15"/>
      <c r="AK589" s="15"/>
    </row>
    <row r="590" spans="34:37" x14ac:dyDescent="0.2">
      <c r="AH590" s="15"/>
      <c r="AI590" s="15"/>
      <c r="AJ590" s="15"/>
      <c r="AK590" s="15"/>
    </row>
    <row r="591" spans="34:37" x14ac:dyDescent="0.2">
      <c r="AH591" s="15"/>
      <c r="AI591" s="15"/>
      <c r="AJ591" s="15"/>
      <c r="AK591" s="15"/>
    </row>
    <row r="592" spans="34:37" x14ac:dyDescent="0.2">
      <c r="AH592" s="15"/>
      <c r="AI592" s="15"/>
      <c r="AJ592" s="15"/>
      <c r="AK592" s="15"/>
    </row>
    <row r="593" spans="34:37" x14ac:dyDescent="0.2">
      <c r="AH593" s="15"/>
      <c r="AI593" s="15"/>
      <c r="AJ593" s="15"/>
      <c r="AK593" s="15"/>
    </row>
    <row r="594" spans="34:37" x14ac:dyDescent="0.2">
      <c r="AH594" s="15"/>
      <c r="AI594" s="15"/>
      <c r="AJ594" s="15"/>
      <c r="AK594" s="15"/>
    </row>
    <row r="595" spans="34:37" x14ac:dyDescent="0.2">
      <c r="AH595" s="15"/>
      <c r="AI595" s="15"/>
      <c r="AJ595" s="15"/>
      <c r="AK595" s="15"/>
    </row>
    <row r="596" spans="34:37" x14ac:dyDescent="0.2">
      <c r="AH596" s="15"/>
      <c r="AI596" s="15"/>
      <c r="AJ596" s="15"/>
      <c r="AK596" s="15"/>
    </row>
    <row r="597" spans="34:37" x14ac:dyDescent="0.2">
      <c r="AH597" s="15"/>
      <c r="AI597" s="15"/>
      <c r="AJ597" s="15"/>
      <c r="AK597" s="15"/>
    </row>
    <row r="598" spans="34:37" x14ac:dyDescent="0.2">
      <c r="AH598" s="15"/>
      <c r="AI598" s="15"/>
      <c r="AJ598" s="15"/>
      <c r="AK598" s="15"/>
    </row>
    <row r="599" spans="34:37" x14ac:dyDescent="0.2">
      <c r="AH599" s="15"/>
      <c r="AI599" s="15"/>
      <c r="AJ599" s="15"/>
      <c r="AK599" s="15"/>
    </row>
    <row r="600" spans="34:37" x14ac:dyDescent="0.2">
      <c r="AH600" s="15"/>
      <c r="AI600" s="15"/>
      <c r="AJ600" s="15"/>
      <c r="AK600" s="15"/>
    </row>
    <row r="601" spans="34:37" x14ac:dyDescent="0.2">
      <c r="AH601" s="15"/>
      <c r="AI601" s="15"/>
      <c r="AJ601" s="15"/>
      <c r="AK601" s="15"/>
    </row>
    <row r="602" spans="34:37" x14ac:dyDescent="0.2">
      <c r="AH602" s="15"/>
      <c r="AI602" s="15"/>
      <c r="AJ602" s="15"/>
      <c r="AK602" s="15"/>
    </row>
    <row r="603" spans="34:37" x14ac:dyDescent="0.2">
      <c r="AH603" s="15"/>
      <c r="AI603" s="15"/>
      <c r="AJ603" s="15"/>
      <c r="AK603" s="15"/>
    </row>
    <row r="604" spans="34:37" x14ac:dyDescent="0.2">
      <c r="AH604" s="15"/>
      <c r="AI604" s="15"/>
      <c r="AJ604" s="15"/>
      <c r="AK604" s="15"/>
    </row>
    <row r="605" spans="34:37" x14ac:dyDescent="0.2">
      <c r="AH605" s="15"/>
      <c r="AI605" s="15"/>
      <c r="AJ605" s="15"/>
      <c r="AK605" s="15"/>
    </row>
    <row r="606" spans="34:37" x14ac:dyDescent="0.2">
      <c r="AH606" s="15"/>
      <c r="AI606" s="15"/>
      <c r="AJ606" s="15"/>
      <c r="AK606" s="15"/>
    </row>
    <row r="607" spans="34:37" x14ac:dyDescent="0.2">
      <c r="AH607" s="15"/>
      <c r="AI607" s="15"/>
      <c r="AJ607" s="15"/>
      <c r="AK607" s="15"/>
    </row>
    <row r="608" spans="34:37" x14ac:dyDescent="0.2">
      <c r="AH608" s="15"/>
      <c r="AI608" s="15"/>
      <c r="AJ608" s="15"/>
      <c r="AK608" s="15"/>
    </row>
    <row r="609" spans="34:37" x14ac:dyDescent="0.2">
      <c r="AH609" s="15"/>
      <c r="AI609" s="15"/>
      <c r="AJ609" s="15"/>
      <c r="AK609" s="15"/>
    </row>
    <row r="610" spans="34:37" x14ac:dyDescent="0.2">
      <c r="AH610" s="15"/>
      <c r="AI610" s="15"/>
      <c r="AJ610" s="15"/>
      <c r="AK610" s="15"/>
    </row>
    <row r="611" spans="34:37" x14ac:dyDescent="0.2">
      <c r="AH611" s="15"/>
      <c r="AI611" s="15"/>
      <c r="AJ611" s="15"/>
      <c r="AK611" s="15"/>
    </row>
    <row r="612" spans="34:37" x14ac:dyDescent="0.2">
      <c r="AH612" s="15"/>
      <c r="AI612" s="15"/>
      <c r="AJ612" s="15"/>
      <c r="AK612" s="15"/>
    </row>
    <row r="613" spans="34:37" x14ac:dyDescent="0.2">
      <c r="AH613" s="15"/>
      <c r="AI613" s="15"/>
      <c r="AJ613" s="15"/>
      <c r="AK613" s="15"/>
    </row>
    <row r="614" spans="34:37" x14ac:dyDescent="0.2">
      <c r="AH614" s="15"/>
      <c r="AI614" s="15"/>
      <c r="AJ614" s="15"/>
      <c r="AK614" s="15"/>
    </row>
    <row r="615" spans="34:37" x14ac:dyDescent="0.2">
      <c r="AH615" s="15"/>
      <c r="AI615" s="15"/>
      <c r="AJ615" s="15"/>
      <c r="AK615" s="15"/>
    </row>
    <row r="616" spans="34:37" x14ac:dyDescent="0.2">
      <c r="AH616" s="15"/>
      <c r="AI616" s="15"/>
      <c r="AJ616" s="15"/>
      <c r="AK616" s="15"/>
    </row>
    <row r="617" spans="34:37" x14ac:dyDescent="0.2">
      <c r="AH617" s="15"/>
      <c r="AI617" s="15"/>
      <c r="AJ617" s="15"/>
      <c r="AK617" s="15"/>
    </row>
    <row r="618" spans="34:37" x14ac:dyDescent="0.2">
      <c r="AH618" s="15"/>
      <c r="AI618" s="15"/>
      <c r="AJ618" s="15"/>
      <c r="AK618" s="15"/>
    </row>
    <row r="619" spans="34:37" x14ac:dyDescent="0.2">
      <c r="AH619" s="15"/>
      <c r="AI619" s="15"/>
      <c r="AJ619" s="15"/>
      <c r="AK619" s="15"/>
    </row>
    <row r="620" spans="34:37" x14ac:dyDescent="0.2">
      <c r="AH620" s="15"/>
      <c r="AI620" s="15"/>
      <c r="AJ620" s="15"/>
      <c r="AK620" s="15"/>
    </row>
    <row r="621" spans="34:37" x14ac:dyDescent="0.2">
      <c r="AH621" s="15"/>
      <c r="AI621" s="15"/>
      <c r="AJ621" s="15"/>
      <c r="AK621" s="15"/>
    </row>
    <row r="622" spans="34:37" x14ac:dyDescent="0.2">
      <c r="AH622" s="15"/>
      <c r="AI622" s="15"/>
      <c r="AJ622" s="15"/>
      <c r="AK622" s="15"/>
    </row>
    <row r="623" spans="34:37" x14ac:dyDescent="0.2">
      <c r="AH623" s="15"/>
      <c r="AI623" s="15"/>
      <c r="AJ623" s="15"/>
      <c r="AK623" s="15"/>
    </row>
    <row r="624" spans="34:37" x14ac:dyDescent="0.2">
      <c r="AH624" s="15"/>
      <c r="AI624" s="15"/>
      <c r="AJ624" s="15"/>
      <c r="AK624" s="15"/>
    </row>
    <row r="625" spans="34:37" x14ac:dyDescent="0.2">
      <c r="AH625" s="15"/>
      <c r="AI625" s="15"/>
      <c r="AJ625" s="15"/>
      <c r="AK625" s="15"/>
    </row>
    <row r="626" spans="34:37" x14ac:dyDescent="0.2">
      <c r="AH626" s="15"/>
      <c r="AI626" s="15"/>
      <c r="AJ626" s="15"/>
      <c r="AK626" s="15"/>
    </row>
    <row r="627" spans="34:37" x14ac:dyDescent="0.2">
      <c r="AH627" s="15"/>
      <c r="AI627" s="15"/>
      <c r="AJ627" s="15"/>
      <c r="AK627" s="15"/>
    </row>
    <row r="628" spans="34:37" x14ac:dyDescent="0.2">
      <c r="AH628" s="15"/>
      <c r="AI628" s="15"/>
      <c r="AJ628" s="15"/>
      <c r="AK628" s="15"/>
    </row>
    <row r="629" spans="34:37" x14ac:dyDescent="0.2">
      <c r="AH629" s="15"/>
      <c r="AI629" s="15"/>
      <c r="AJ629" s="15"/>
      <c r="AK629" s="15"/>
    </row>
    <row r="630" spans="34:37" x14ac:dyDescent="0.2">
      <c r="AH630" s="15"/>
      <c r="AI630" s="15"/>
      <c r="AJ630" s="15"/>
      <c r="AK630" s="15"/>
    </row>
    <row r="631" spans="34:37" x14ac:dyDescent="0.2">
      <c r="AH631" s="15"/>
      <c r="AI631" s="15"/>
      <c r="AJ631" s="15"/>
      <c r="AK631" s="15"/>
    </row>
    <row r="632" spans="34:37" x14ac:dyDescent="0.2">
      <c r="AH632" s="15"/>
      <c r="AI632" s="15"/>
      <c r="AJ632" s="15"/>
      <c r="AK632" s="15"/>
    </row>
    <row r="633" spans="34:37" x14ac:dyDescent="0.2">
      <c r="AH633" s="15"/>
      <c r="AI633" s="15"/>
      <c r="AJ633" s="15"/>
      <c r="AK633" s="15"/>
    </row>
    <row r="634" spans="34:37" x14ac:dyDescent="0.2">
      <c r="AH634" s="15"/>
      <c r="AI634" s="15"/>
      <c r="AJ634" s="15"/>
      <c r="AK634" s="15"/>
    </row>
    <row r="635" spans="34:37" x14ac:dyDescent="0.2">
      <c r="AH635" s="15"/>
      <c r="AI635" s="15"/>
      <c r="AJ635" s="15"/>
      <c r="AK635" s="15"/>
    </row>
    <row r="636" spans="34:37" x14ac:dyDescent="0.2">
      <c r="AH636" s="15"/>
      <c r="AI636" s="15"/>
      <c r="AJ636" s="15"/>
      <c r="AK636" s="15"/>
    </row>
    <row r="637" spans="34:37" x14ac:dyDescent="0.2">
      <c r="AH637" s="15"/>
      <c r="AI637" s="15"/>
      <c r="AJ637" s="15"/>
      <c r="AK637" s="15"/>
    </row>
    <row r="638" spans="34:37" x14ac:dyDescent="0.2">
      <c r="AH638" s="15"/>
      <c r="AI638" s="15"/>
      <c r="AJ638" s="15"/>
      <c r="AK638" s="15"/>
    </row>
    <row r="639" spans="34:37" x14ac:dyDescent="0.2">
      <c r="AH639" s="15"/>
      <c r="AI639" s="15"/>
      <c r="AJ639" s="15"/>
      <c r="AK639" s="15"/>
    </row>
    <row r="640" spans="34:37" x14ac:dyDescent="0.2">
      <c r="AH640" s="15"/>
      <c r="AI640" s="15"/>
      <c r="AJ640" s="15"/>
      <c r="AK640" s="15"/>
    </row>
    <row r="641" spans="34:37" x14ac:dyDescent="0.2">
      <c r="AH641" s="15"/>
      <c r="AI641" s="15"/>
      <c r="AJ641" s="15"/>
      <c r="AK641" s="15"/>
    </row>
    <row r="642" spans="34:37" x14ac:dyDescent="0.2">
      <c r="AH642" s="15"/>
      <c r="AI642" s="15"/>
      <c r="AJ642" s="15"/>
      <c r="AK642" s="15"/>
    </row>
    <row r="643" spans="34:37" x14ac:dyDescent="0.2">
      <c r="AH643" s="15"/>
      <c r="AI643" s="15"/>
      <c r="AJ643" s="15"/>
      <c r="AK643" s="15"/>
    </row>
    <row r="644" spans="34:37" x14ac:dyDescent="0.2">
      <c r="AH644" s="15"/>
      <c r="AI644" s="15"/>
      <c r="AJ644" s="15"/>
      <c r="AK644" s="15"/>
    </row>
    <row r="645" spans="34:37" x14ac:dyDescent="0.2">
      <c r="AH645" s="15"/>
      <c r="AI645" s="15"/>
      <c r="AJ645" s="15"/>
      <c r="AK645" s="15"/>
    </row>
    <row r="646" spans="34:37" x14ac:dyDescent="0.2">
      <c r="AH646" s="15"/>
      <c r="AI646" s="15"/>
      <c r="AJ646" s="15"/>
      <c r="AK646" s="15"/>
    </row>
    <row r="647" spans="34:37" x14ac:dyDescent="0.2">
      <c r="AH647" s="15"/>
      <c r="AI647" s="15"/>
      <c r="AJ647" s="15"/>
      <c r="AK647" s="15"/>
    </row>
    <row r="648" spans="34:37" x14ac:dyDescent="0.2">
      <c r="AH648" s="15"/>
      <c r="AI648" s="15"/>
      <c r="AJ648" s="15"/>
      <c r="AK648" s="15"/>
    </row>
    <row r="649" spans="34:37" x14ac:dyDescent="0.2">
      <c r="AH649" s="15"/>
      <c r="AI649" s="15"/>
      <c r="AJ649" s="15"/>
      <c r="AK649" s="15"/>
    </row>
    <row r="650" spans="34:37" x14ac:dyDescent="0.2">
      <c r="AH650" s="15"/>
      <c r="AI650" s="15"/>
      <c r="AJ650" s="15"/>
      <c r="AK650" s="15"/>
    </row>
    <row r="651" spans="34:37" x14ac:dyDescent="0.2">
      <c r="AH651" s="15"/>
      <c r="AI651" s="15"/>
      <c r="AJ651" s="15"/>
      <c r="AK651" s="15"/>
    </row>
    <row r="652" spans="34:37" x14ac:dyDescent="0.2">
      <c r="AH652" s="15"/>
      <c r="AI652" s="15"/>
      <c r="AJ652" s="15"/>
      <c r="AK652" s="15"/>
    </row>
    <row r="653" spans="34:37" x14ac:dyDescent="0.2">
      <c r="AH653" s="15"/>
      <c r="AI653" s="15"/>
      <c r="AJ653" s="15"/>
      <c r="AK653" s="15"/>
    </row>
    <row r="654" spans="34:37" x14ac:dyDescent="0.2">
      <c r="AH654" s="15"/>
      <c r="AI654" s="15"/>
      <c r="AJ654" s="15"/>
      <c r="AK654" s="15"/>
    </row>
    <row r="655" spans="34:37" x14ac:dyDescent="0.2">
      <c r="AH655" s="15"/>
      <c r="AI655" s="15"/>
      <c r="AJ655" s="15"/>
      <c r="AK655" s="15"/>
    </row>
    <row r="656" spans="34:37" x14ac:dyDescent="0.2">
      <c r="AH656" s="15"/>
      <c r="AI656" s="15"/>
      <c r="AJ656" s="15"/>
      <c r="AK656" s="15"/>
    </row>
    <row r="657" spans="34:37" x14ac:dyDescent="0.2">
      <c r="AH657" s="15"/>
      <c r="AI657" s="15"/>
      <c r="AJ657" s="15"/>
      <c r="AK657" s="15"/>
    </row>
    <row r="658" spans="34:37" x14ac:dyDescent="0.2">
      <c r="AH658" s="15"/>
      <c r="AI658" s="15"/>
      <c r="AJ658" s="15"/>
      <c r="AK658" s="15"/>
    </row>
    <row r="659" spans="34:37" x14ac:dyDescent="0.2">
      <c r="AH659" s="15"/>
      <c r="AI659" s="15"/>
      <c r="AJ659" s="15"/>
      <c r="AK659" s="15"/>
    </row>
    <row r="660" spans="34:37" x14ac:dyDescent="0.2">
      <c r="AH660" s="15"/>
      <c r="AI660" s="15"/>
      <c r="AJ660" s="15"/>
      <c r="AK660" s="15"/>
    </row>
    <row r="661" spans="34:37" x14ac:dyDescent="0.2">
      <c r="AH661" s="15"/>
      <c r="AI661" s="15"/>
      <c r="AJ661" s="15"/>
      <c r="AK661" s="15"/>
    </row>
    <row r="662" spans="34:37" x14ac:dyDescent="0.2">
      <c r="AH662" s="15"/>
      <c r="AI662" s="15"/>
      <c r="AJ662" s="15"/>
      <c r="AK662" s="15"/>
    </row>
    <row r="663" spans="34:37" x14ac:dyDescent="0.2">
      <c r="AH663" s="15"/>
      <c r="AI663" s="15"/>
      <c r="AJ663" s="15"/>
      <c r="AK663" s="15"/>
    </row>
    <row r="664" spans="34:37" x14ac:dyDescent="0.2">
      <c r="AH664" s="15"/>
      <c r="AI664" s="15"/>
      <c r="AJ664" s="15"/>
      <c r="AK664" s="15"/>
    </row>
    <row r="665" spans="34:37" x14ac:dyDescent="0.2">
      <c r="AH665" s="15"/>
      <c r="AI665" s="15"/>
      <c r="AJ665" s="15"/>
      <c r="AK665" s="15"/>
    </row>
    <row r="666" spans="34:37" x14ac:dyDescent="0.2">
      <c r="AH666" s="15"/>
      <c r="AI666" s="15"/>
      <c r="AJ666" s="15"/>
      <c r="AK666" s="15"/>
    </row>
    <row r="667" spans="34:37" x14ac:dyDescent="0.2">
      <c r="AH667" s="15"/>
      <c r="AI667" s="15"/>
      <c r="AJ667" s="15"/>
      <c r="AK667" s="15"/>
    </row>
    <row r="668" spans="34:37" x14ac:dyDescent="0.2">
      <c r="AH668" s="15"/>
      <c r="AI668" s="15"/>
      <c r="AJ668" s="15"/>
      <c r="AK668" s="15"/>
    </row>
    <row r="669" spans="34:37" x14ac:dyDescent="0.2">
      <c r="AH669" s="15"/>
      <c r="AI669" s="15"/>
      <c r="AJ669" s="15"/>
      <c r="AK669" s="15"/>
    </row>
    <row r="670" spans="34:37" x14ac:dyDescent="0.2">
      <c r="AH670" s="15"/>
      <c r="AI670" s="15"/>
      <c r="AJ670" s="15"/>
      <c r="AK670" s="15"/>
    </row>
    <row r="671" spans="34:37" x14ac:dyDescent="0.2">
      <c r="AH671" s="15"/>
      <c r="AI671" s="15"/>
      <c r="AJ671" s="15"/>
      <c r="AK671" s="15"/>
    </row>
    <row r="672" spans="34:37" x14ac:dyDescent="0.2">
      <c r="AH672" s="15"/>
      <c r="AI672" s="15"/>
      <c r="AJ672" s="15"/>
      <c r="AK672" s="15"/>
    </row>
    <row r="673" spans="34:37" x14ac:dyDescent="0.2">
      <c r="AH673" s="15"/>
      <c r="AI673" s="15"/>
      <c r="AJ673" s="15"/>
      <c r="AK673" s="15"/>
    </row>
    <row r="674" spans="34:37" x14ac:dyDescent="0.2">
      <c r="AH674" s="15"/>
      <c r="AI674" s="15"/>
      <c r="AJ674" s="15"/>
      <c r="AK674" s="15"/>
    </row>
    <row r="675" spans="34:37" x14ac:dyDescent="0.2">
      <c r="AH675" s="15"/>
      <c r="AI675" s="15"/>
      <c r="AJ675" s="15"/>
      <c r="AK675" s="15"/>
    </row>
    <row r="676" spans="34:37" x14ac:dyDescent="0.2">
      <c r="AH676" s="15"/>
      <c r="AI676" s="15"/>
      <c r="AJ676" s="15"/>
      <c r="AK676" s="15"/>
    </row>
    <row r="677" spans="34:37" x14ac:dyDescent="0.2">
      <c r="AH677" s="15"/>
      <c r="AI677" s="15"/>
      <c r="AJ677" s="15"/>
      <c r="AK677" s="15"/>
    </row>
    <row r="678" spans="34:37" x14ac:dyDescent="0.2">
      <c r="AH678" s="15"/>
      <c r="AI678" s="15"/>
      <c r="AJ678" s="15"/>
      <c r="AK678" s="15"/>
    </row>
    <row r="679" spans="34:37" x14ac:dyDescent="0.2">
      <c r="AH679" s="15"/>
      <c r="AI679" s="15"/>
      <c r="AJ679" s="15"/>
      <c r="AK679" s="15"/>
    </row>
    <row r="680" spans="34:37" x14ac:dyDescent="0.2">
      <c r="AH680" s="15"/>
      <c r="AI680" s="15"/>
      <c r="AJ680" s="15"/>
      <c r="AK680" s="15"/>
    </row>
    <row r="681" spans="34:37" x14ac:dyDescent="0.2">
      <c r="AH681" s="15"/>
      <c r="AI681" s="15"/>
      <c r="AJ681" s="15"/>
      <c r="AK681" s="15"/>
    </row>
    <row r="682" spans="34:37" x14ac:dyDescent="0.2">
      <c r="AH682" s="15"/>
      <c r="AI682" s="15"/>
      <c r="AJ682" s="15"/>
      <c r="AK682" s="15"/>
    </row>
  </sheetData>
  <mergeCells count="64">
    <mergeCell ref="A235:F235"/>
    <mergeCell ref="A208:F208"/>
    <mergeCell ref="A211:F211"/>
    <mergeCell ref="A217:F217"/>
    <mergeCell ref="A220:F220"/>
    <mergeCell ref="A214:F214"/>
    <mergeCell ref="A209:F209"/>
    <mergeCell ref="A212:F212"/>
    <mergeCell ref="A218:F218"/>
    <mergeCell ref="A221:F221"/>
    <mergeCell ref="A233:F233"/>
    <mergeCell ref="A232:F232"/>
    <mergeCell ref="A230:F230"/>
    <mergeCell ref="V56:V57"/>
    <mergeCell ref="Q55:R55"/>
    <mergeCell ref="S55:T55"/>
    <mergeCell ref="U55:V55"/>
    <mergeCell ref="S56:S57"/>
    <mergeCell ref="Q56:Q57"/>
    <mergeCell ref="R56:R57"/>
    <mergeCell ref="Y55:Z55"/>
    <mergeCell ref="Y56:Y57"/>
    <mergeCell ref="Z56:Z57"/>
    <mergeCell ref="D56:D57"/>
    <mergeCell ref="M56:M57"/>
    <mergeCell ref="N56:N57"/>
    <mergeCell ref="O56:O57"/>
    <mergeCell ref="I55:I57"/>
    <mergeCell ref="J55:J57"/>
    <mergeCell ref="W55:X55"/>
    <mergeCell ref="T56:T57"/>
    <mergeCell ref="W56:W57"/>
    <mergeCell ref="X56:X57"/>
    <mergeCell ref="C55:D55"/>
    <mergeCell ref="E55:F55"/>
    <mergeCell ref="U56:U57"/>
    <mergeCell ref="A1:O1"/>
    <mergeCell ref="M55:N55"/>
    <mergeCell ref="O55:P55"/>
    <mergeCell ref="P56:P57"/>
    <mergeCell ref="B40:C41"/>
    <mergeCell ref="F40:F41"/>
    <mergeCell ref="I40:J41"/>
    <mergeCell ref="B49:C50"/>
    <mergeCell ref="G49:G50"/>
    <mergeCell ref="C56:C57"/>
    <mergeCell ref="H55:H57"/>
    <mergeCell ref="L55:L57"/>
    <mergeCell ref="A55:A57"/>
    <mergeCell ref="B55:B57"/>
    <mergeCell ref="S16:S17"/>
    <mergeCell ref="T16:T17"/>
    <mergeCell ref="U16:U17"/>
    <mergeCell ref="B26:C27"/>
    <mergeCell ref="G26:G27"/>
    <mergeCell ref="A199:F199"/>
    <mergeCell ref="K55:K57"/>
    <mergeCell ref="A223:F223"/>
    <mergeCell ref="A226:F226"/>
    <mergeCell ref="A229:F229"/>
    <mergeCell ref="A224:F224"/>
    <mergeCell ref="A227:F227"/>
    <mergeCell ref="A215:F215"/>
    <mergeCell ref="A206:F206"/>
  </mergeCells>
  <phoneticPr fontId="2" type="noConversion"/>
  <pageMargins left="0.7" right="0.7" top="0.75" bottom="0.75" header="0.3" footer="0.3"/>
  <pageSetup paperSize="9" scale="64" orientation="landscape" verticalDpi="300" r:id="rId1"/>
  <rowBreaks count="1" manualBreakCount="1">
    <brk id="46" max="28" man="1"/>
  </rowBreaks>
  <colBreaks count="1" manualBreakCount="1">
    <brk id="16" max="204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  <pageSetUpPr fitToPage="1"/>
  </sheetPr>
  <dimension ref="A1:N56"/>
  <sheetViews>
    <sheetView tabSelected="1" view="pageBreakPreview" zoomScale="60" zoomScaleNormal="100" workbookViewId="0">
      <selection activeCell="F13" sqref="F13"/>
    </sheetView>
  </sheetViews>
  <sheetFormatPr defaultColWidth="9.140625" defaultRowHeight="12.75" x14ac:dyDescent="0.2"/>
  <cols>
    <col min="1" max="1" width="30" style="1" customWidth="1"/>
    <col min="2" max="2" width="9.140625" style="1"/>
    <col min="3" max="5" width="12.5703125" style="1" customWidth="1"/>
    <col min="6" max="8" width="14" style="1" customWidth="1"/>
    <col min="9" max="11" width="12.5703125" style="1" customWidth="1"/>
    <col min="12" max="12" width="12.7109375" style="1" customWidth="1"/>
    <col min="13" max="13" width="9.140625" style="1"/>
    <col min="14" max="14" width="10.7109375" style="1" customWidth="1"/>
    <col min="15" max="16384" width="9.140625" style="1"/>
  </cols>
  <sheetData>
    <row r="1" spans="1:14" ht="87.6" customHeight="1" x14ac:dyDescent="0.2">
      <c r="L1" s="548" t="s">
        <v>362</v>
      </c>
      <c r="M1" s="548"/>
      <c r="N1" s="548"/>
    </row>
    <row r="2" spans="1:14" ht="144.75" hidden="1" customHeight="1" x14ac:dyDescent="0.2">
      <c r="J2" s="436"/>
    </row>
    <row r="3" spans="1:14" ht="20.45" customHeight="1" x14ac:dyDescent="0.25">
      <c r="A3" s="549" t="s">
        <v>354</v>
      </c>
      <c r="B3" s="549"/>
      <c r="C3" s="549"/>
      <c r="D3" s="549"/>
      <c r="E3" s="549"/>
      <c r="F3" s="549"/>
      <c r="G3" s="549"/>
      <c r="H3" s="549"/>
      <c r="I3" s="549"/>
      <c r="J3" s="549"/>
      <c r="K3" s="549"/>
      <c r="L3" s="549"/>
      <c r="M3" s="549"/>
      <c r="N3" s="549"/>
    </row>
    <row r="4" spans="1:14" x14ac:dyDescent="0.2">
      <c r="A4" s="550" t="s">
        <v>360</v>
      </c>
      <c r="B4" s="550"/>
      <c r="C4" s="550"/>
      <c r="D4" s="550"/>
      <c r="E4" s="550"/>
      <c r="F4" s="550"/>
      <c r="G4" s="550"/>
      <c r="H4" s="550"/>
      <c r="I4" s="550"/>
      <c r="J4" s="550"/>
      <c r="K4" s="550"/>
      <c r="L4" s="550"/>
      <c r="M4" s="550"/>
      <c r="N4" s="550"/>
    </row>
    <row r="5" spans="1:14" x14ac:dyDescent="0.2">
      <c r="A5" s="552" t="s">
        <v>318</v>
      </c>
      <c r="B5" s="552" t="s">
        <v>345</v>
      </c>
      <c r="C5" s="552"/>
      <c r="D5" s="552"/>
      <c r="E5" s="552"/>
      <c r="F5" s="552"/>
      <c r="G5" s="552"/>
      <c r="H5" s="552"/>
      <c r="I5" s="552"/>
      <c r="J5" s="552"/>
      <c r="K5" s="552"/>
      <c r="L5" s="552"/>
      <c r="M5" s="552"/>
      <c r="N5" s="552"/>
    </row>
    <row r="6" spans="1:14" x14ac:dyDescent="0.2">
      <c r="A6" s="552"/>
      <c r="B6" s="552"/>
      <c r="C6" s="552" t="s">
        <v>272</v>
      </c>
      <c r="D6" s="552"/>
      <c r="E6" s="552"/>
      <c r="F6" s="552" t="s">
        <v>273</v>
      </c>
      <c r="G6" s="552"/>
      <c r="H6" s="552"/>
      <c r="I6" s="552" t="s">
        <v>344</v>
      </c>
      <c r="J6" s="552"/>
      <c r="K6" s="552"/>
      <c r="L6" s="552" t="s">
        <v>351</v>
      </c>
      <c r="M6" s="552"/>
      <c r="N6" s="552"/>
    </row>
    <row r="7" spans="1:14" x14ac:dyDescent="0.2">
      <c r="A7" s="14"/>
      <c r="B7" s="14"/>
      <c r="C7" s="437" t="s">
        <v>270</v>
      </c>
      <c r="D7" s="437" t="s">
        <v>349</v>
      </c>
      <c r="E7" s="437" t="s">
        <v>64</v>
      </c>
      <c r="F7" s="437" t="s">
        <v>270</v>
      </c>
      <c r="G7" s="437" t="s">
        <v>349</v>
      </c>
      <c r="H7" s="437" t="s">
        <v>64</v>
      </c>
      <c r="I7" s="437" t="s">
        <v>270</v>
      </c>
      <c r="J7" s="437" t="s">
        <v>349</v>
      </c>
      <c r="K7" s="437" t="s">
        <v>64</v>
      </c>
      <c r="L7" s="437" t="s">
        <v>270</v>
      </c>
      <c r="M7" s="437" t="s">
        <v>349</v>
      </c>
      <c r="N7" s="437" t="s">
        <v>64</v>
      </c>
    </row>
    <row r="8" spans="1:14" s="12" customFormat="1" x14ac:dyDescent="0.2">
      <c r="A8" s="440" t="s">
        <v>327</v>
      </c>
      <c r="B8" s="432"/>
      <c r="C8" s="436">
        <v>1998.8157356073036</v>
      </c>
      <c r="D8" s="436">
        <v>2428.9898354688339</v>
      </c>
      <c r="E8" s="436">
        <v>81.816516502719665</v>
      </c>
      <c r="F8" s="437">
        <v>0</v>
      </c>
      <c r="G8" s="437">
        <v>0</v>
      </c>
      <c r="H8" s="437">
        <v>0</v>
      </c>
      <c r="I8" s="437">
        <v>0</v>
      </c>
      <c r="J8" s="437">
        <v>0</v>
      </c>
      <c r="K8" s="437">
        <v>0</v>
      </c>
      <c r="L8" s="436">
        <v>1998.8157356073036</v>
      </c>
      <c r="M8" s="436">
        <v>2428.9898354688339</v>
      </c>
      <c r="N8" s="436">
        <v>81.816516502719665</v>
      </c>
    </row>
    <row r="9" spans="1:14" ht="15.75" x14ac:dyDescent="0.2">
      <c r="A9" s="442" t="s">
        <v>346</v>
      </c>
      <c r="B9" s="433" t="s">
        <v>270</v>
      </c>
      <c r="C9" s="436">
        <v>1851.2999176683722</v>
      </c>
      <c r="D9" s="436">
        <v>2249.7264766902076</v>
      </c>
      <c r="E9" s="436">
        <v>75.778325919261121</v>
      </c>
      <c r="F9" s="437">
        <v>0</v>
      </c>
      <c r="G9" s="437">
        <v>0</v>
      </c>
      <c r="H9" s="437">
        <v>0</v>
      </c>
      <c r="I9" s="437">
        <v>0</v>
      </c>
      <c r="J9" s="437">
        <v>0</v>
      </c>
      <c r="K9" s="437">
        <v>0</v>
      </c>
      <c r="L9" s="436">
        <v>1851.2999176683722</v>
      </c>
      <c r="M9" s="436">
        <v>2249.7264766902076</v>
      </c>
      <c r="N9" s="436">
        <v>75.778325919261121</v>
      </c>
    </row>
    <row r="10" spans="1:14" ht="31.5" x14ac:dyDescent="0.2">
      <c r="A10" s="430" t="s">
        <v>294</v>
      </c>
      <c r="B10" s="429" t="s">
        <v>270</v>
      </c>
      <c r="C10" s="438">
        <v>1263.5835897579414</v>
      </c>
      <c r="D10" s="436">
        <v>1535.5250817328244</v>
      </c>
      <c r="E10" s="438">
        <v>51.721629854282504</v>
      </c>
      <c r="F10" s="447">
        <v>0</v>
      </c>
      <c r="G10" s="437">
        <v>0</v>
      </c>
      <c r="H10" s="437">
        <v>0</v>
      </c>
      <c r="I10" s="437">
        <v>0</v>
      </c>
      <c r="J10" s="437">
        <v>0</v>
      </c>
      <c r="K10" s="437">
        <v>0</v>
      </c>
      <c r="L10" s="438">
        <v>1263.5835897579414</v>
      </c>
      <c r="M10" s="438">
        <v>1535.5250817328244</v>
      </c>
      <c r="N10" s="438">
        <v>51.721629854282504</v>
      </c>
    </row>
    <row r="11" spans="1:14" ht="15.75" x14ac:dyDescent="0.2">
      <c r="A11" s="430" t="s">
        <v>295</v>
      </c>
      <c r="B11" s="429" t="s">
        <v>270</v>
      </c>
      <c r="C11" s="438">
        <v>1122.8815992366413</v>
      </c>
      <c r="D11" s="436">
        <v>1364.5419847328244</v>
      </c>
      <c r="E11" s="438">
        <v>45.962346232296305</v>
      </c>
      <c r="F11" s="437">
        <v>0</v>
      </c>
      <c r="G11" s="437">
        <v>0</v>
      </c>
      <c r="H11" s="437">
        <v>0</v>
      </c>
      <c r="I11" s="437">
        <v>0</v>
      </c>
      <c r="J11" s="437">
        <v>0</v>
      </c>
      <c r="K11" s="437">
        <v>0</v>
      </c>
      <c r="L11" s="438">
        <v>1122.8815992366413</v>
      </c>
      <c r="M11" s="438">
        <v>1364.5419847328244</v>
      </c>
      <c r="N11" s="438">
        <v>45.962346232296305</v>
      </c>
    </row>
    <row r="12" spans="1:14" ht="15.75" x14ac:dyDescent="0.2">
      <c r="A12" s="430" t="s">
        <v>296</v>
      </c>
      <c r="B12" s="429" t="s">
        <v>270</v>
      </c>
      <c r="C12" s="438">
        <v>140.70199052130002</v>
      </c>
      <c r="D12" s="436">
        <v>170.98309700000001</v>
      </c>
      <c r="E12" s="438">
        <v>5.7592836219862038</v>
      </c>
      <c r="F12" s="437">
        <v>0</v>
      </c>
      <c r="G12" s="437">
        <v>0</v>
      </c>
      <c r="H12" s="437">
        <v>0</v>
      </c>
      <c r="I12" s="437">
        <v>0</v>
      </c>
      <c r="J12" s="437">
        <v>0</v>
      </c>
      <c r="K12" s="437">
        <v>0</v>
      </c>
      <c r="L12" s="438">
        <v>140.70199052130002</v>
      </c>
      <c r="M12" s="438">
        <v>170.98309700000001</v>
      </c>
      <c r="N12" s="438">
        <v>5.7592836219862038</v>
      </c>
    </row>
    <row r="13" spans="1:14" ht="15.75" x14ac:dyDescent="0.2">
      <c r="A13" s="430" t="s">
        <v>297</v>
      </c>
      <c r="B13" s="429" t="s">
        <v>270</v>
      </c>
      <c r="C13" s="438">
        <v>0</v>
      </c>
      <c r="D13" s="436">
        <v>0</v>
      </c>
      <c r="E13" s="438">
        <v>0</v>
      </c>
      <c r="F13" s="437">
        <v>0</v>
      </c>
      <c r="G13" s="437">
        <v>0</v>
      </c>
      <c r="H13" s="437">
        <v>0</v>
      </c>
      <c r="I13" s="437">
        <v>0</v>
      </c>
      <c r="J13" s="437">
        <v>0</v>
      </c>
      <c r="K13" s="437">
        <v>0</v>
      </c>
      <c r="L13" s="438">
        <v>0</v>
      </c>
      <c r="M13" s="438">
        <v>0</v>
      </c>
      <c r="N13" s="438">
        <v>0</v>
      </c>
    </row>
    <row r="14" spans="1:14" ht="31.5" x14ac:dyDescent="0.2">
      <c r="A14" s="430" t="s">
        <v>298</v>
      </c>
      <c r="B14" s="429" t="s">
        <v>270</v>
      </c>
      <c r="C14" s="438">
        <v>0</v>
      </c>
      <c r="D14" s="436">
        <v>0</v>
      </c>
      <c r="E14" s="438">
        <v>0</v>
      </c>
      <c r="F14" s="437">
        <v>0</v>
      </c>
      <c r="G14" s="437">
        <v>0</v>
      </c>
      <c r="H14" s="437">
        <v>0</v>
      </c>
      <c r="I14" s="437">
        <v>0</v>
      </c>
      <c r="J14" s="437">
        <v>0</v>
      </c>
      <c r="K14" s="437">
        <v>0</v>
      </c>
      <c r="L14" s="438">
        <v>0</v>
      </c>
      <c r="M14" s="438">
        <v>0</v>
      </c>
      <c r="N14" s="438">
        <v>0</v>
      </c>
    </row>
    <row r="15" spans="1:14" ht="31.5" x14ac:dyDescent="0.2">
      <c r="A15" s="430" t="s">
        <v>317</v>
      </c>
      <c r="B15" s="429" t="s">
        <v>270</v>
      </c>
      <c r="C15" s="438">
        <v>0</v>
      </c>
      <c r="D15" s="436">
        <v>0</v>
      </c>
      <c r="E15" s="438">
        <v>0</v>
      </c>
      <c r="F15" s="437">
        <v>0</v>
      </c>
      <c r="G15" s="437">
        <v>0</v>
      </c>
      <c r="H15" s="437">
        <v>0</v>
      </c>
      <c r="I15" s="437">
        <v>0</v>
      </c>
      <c r="J15" s="437">
        <v>0</v>
      </c>
      <c r="K15" s="437">
        <v>0</v>
      </c>
      <c r="L15" s="438">
        <v>0</v>
      </c>
      <c r="M15" s="438">
        <v>0</v>
      </c>
      <c r="N15" s="438">
        <v>0</v>
      </c>
    </row>
    <row r="16" spans="1:14" ht="31.5" x14ac:dyDescent="0.2">
      <c r="A16" s="430" t="s">
        <v>319</v>
      </c>
      <c r="B16" s="429" t="s">
        <v>270</v>
      </c>
      <c r="C16" s="438">
        <v>309.96919999999994</v>
      </c>
      <c r="D16" s="436">
        <v>376.67906185441723</v>
      </c>
      <c r="E16" s="438">
        <v>12.687812946114043</v>
      </c>
      <c r="F16" s="437">
        <v>0</v>
      </c>
      <c r="G16" s="437">
        <v>0</v>
      </c>
      <c r="H16" s="437">
        <v>0</v>
      </c>
      <c r="I16" s="437">
        <v>0</v>
      </c>
      <c r="J16" s="437">
        <v>0</v>
      </c>
      <c r="K16" s="437">
        <v>0</v>
      </c>
      <c r="L16" s="438">
        <v>309.96919999999994</v>
      </c>
      <c r="M16" s="438">
        <v>376.67906185441723</v>
      </c>
      <c r="N16" s="438">
        <v>12.687812946114043</v>
      </c>
    </row>
    <row r="17" spans="1:14" ht="15.75" x14ac:dyDescent="0.2">
      <c r="A17" s="430" t="s">
        <v>299</v>
      </c>
      <c r="B17" s="429" t="s">
        <v>270</v>
      </c>
      <c r="C17" s="438">
        <v>277.74712791043089</v>
      </c>
      <c r="D17" s="436">
        <v>337.52233310296617</v>
      </c>
      <c r="E17" s="439">
        <v>11.368883118864577</v>
      </c>
      <c r="F17" s="437">
        <v>0</v>
      </c>
      <c r="G17" s="437">
        <v>0</v>
      </c>
      <c r="H17" s="437">
        <v>0</v>
      </c>
      <c r="I17" s="437">
        <v>0</v>
      </c>
      <c r="J17" s="437">
        <v>0</v>
      </c>
      <c r="K17" s="437">
        <v>0</v>
      </c>
      <c r="L17" s="438">
        <v>277.74712791043089</v>
      </c>
      <c r="M17" s="438">
        <v>337.52233310296617</v>
      </c>
      <c r="N17" s="438">
        <v>11.368883118864577</v>
      </c>
    </row>
    <row r="18" spans="1:14" ht="31.5" x14ac:dyDescent="0.2">
      <c r="A18" s="430" t="s">
        <v>320</v>
      </c>
      <c r="B18" s="429" t="s">
        <v>270</v>
      </c>
      <c r="C18" s="438">
        <v>68.193223999999987</v>
      </c>
      <c r="D18" s="436">
        <v>82.869393607971787</v>
      </c>
      <c r="E18" s="438">
        <v>2.7913188481450888</v>
      </c>
      <c r="F18" s="437">
        <v>0</v>
      </c>
      <c r="G18" s="447">
        <v>0</v>
      </c>
      <c r="H18" s="437">
        <v>0</v>
      </c>
      <c r="I18" s="437">
        <v>0</v>
      </c>
      <c r="J18" s="437">
        <v>0</v>
      </c>
      <c r="K18" s="437">
        <v>0</v>
      </c>
      <c r="L18" s="438">
        <v>68.193223999999987</v>
      </c>
      <c r="M18" s="438">
        <v>82.869393607971787</v>
      </c>
      <c r="N18" s="438">
        <v>2.7913188481450888</v>
      </c>
    </row>
    <row r="19" spans="1:14" ht="15.75" x14ac:dyDescent="0.2">
      <c r="A19" s="430" t="s">
        <v>300</v>
      </c>
      <c r="B19" s="429" t="s">
        <v>270</v>
      </c>
      <c r="C19" s="438">
        <v>0</v>
      </c>
      <c r="D19" s="436">
        <v>0</v>
      </c>
      <c r="E19" s="438">
        <v>0</v>
      </c>
      <c r="F19" s="437">
        <v>0</v>
      </c>
      <c r="G19" s="437">
        <v>0</v>
      </c>
      <c r="H19" s="437">
        <v>0</v>
      </c>
      <c r="I19" s="437">
        <v>0</v>
      </c>
      <c r="J19" s="437">
        <v>0</v>
      </c>
      <c r="K19" s="437">
        <v>0</v>
      </c>
      <c r="L19" s="438">
        <v>0</v>
      </c>
      <c r="M19" s="438">
        <v>0</v>
      </c>
      <c r="N19" s="438">
        <v>0</v>
      </c>
    </row>
    <row r="20" spans="1:14" ht="15.75" x14ac:dyDescent="0.2">
      <c r="A20" s="430" t="s">
        <v>301</v>
      </c>
      <c r="B20" s="429" t="s">
        <v>270</v>
      </c>
      <c r="C20" s="438">
        <v>209.5539039104309</v>
      </c>
      <c r="D20" s="436">
        <v>254.6529394949944</v>
      </c>
      <c r="E20" s="438">
        <v>8.5775642707194901</v>
      </c>
      <c r="F20" s="437">
        <v>0</v>
      </c>
      <c r="G20" s="437">
        <v>0</v>
      </c>
      <c r="H20" s="437">
        <v>0</v>
      </c>
      <c r="I20" s="437">
        <v>0</v>
      </c>
      <c r="J20" s="437">
        <v>0</v>
      </c>
      <c r="K20" s="437">
        <v>0</v>
      </c>
      <c r="L20" s="438">
        <v>209.5539039104309</v>
      </c>
      <c r="M20" s="438">
        <v>254.6529394949944</v>
      </c>
      <c r="N20" s="438">
        <v>8.5775642707194901</v>
      </c>
    </row>
    <row r="21" spans="1:14" ht="31.5" x14ac:dyDescent="0.2">
      <c r="A21" s="443" t="s">
        <v>302</v>
      </c>
      <c r="B21" s="444" t="s">
        <v>270</v>
      </c>
      <c r="C21" s="434">
        <v>147.51581793893132</v>
      </c>
      <c r="D21" s="436">
        <v>179.26335877862596</v>
      </c>
      <c r="E21" s="434">
        <v>6.0381905834585341</v>
      </c>
      <c r="F21" s="437">
        <v>0</v>
      </c>
      <c r="G21" s="437">
        <v>0</v>
      </c>
      <c r="H21" s="437">
        <v>0</v>
      </c>
      <c r="I21" s="437">
        <v>0</v>
      </c>
      <c r="J21" s="437">
        <v>0</v>
      </c>
      <c r="K21" s="437">
        <v>0</v>
      </c>
      <c r="L21" s="434">
        <v>147.51581793893132</v>
      </c>
      <c r="M21" s="434">
        <v>179.26335877862596</v>
      </c>
      <c r="N21" s="434">
        <v>6.0381905834585341</v>
      </c>
    </row>
    <row r="22" spans="1:14" ht="15.75" x14ac:dyDescent="0.2">
      <c r="A22" s="430" t="s">
        <v>303</v>
      </c>
      <c r="B22" s="429" t="s">
        <v>270</v>
      </c>
      <c r="C22" s="438">
        <v>0</v>
      </c>
      <c r="D22" s="436">
        <v>0</v>
      </c>
      <c r="E22" s="438">
        <v>0</v>
      </c>
      <c r="F22" s="437">
        <v>0</v>
      </c>
      <c r="G22" s="437">
        <v>0</v>
      </c>
      <c r="H22" s="437">
        <v>0</v>
      </c>
      <c r="I22" s="437">
        <v>0</v>
      </c>
      <c r="J22" s="437">
        <v>0</v>
      </c>
      <c r="K22" s="437">
        <v>0</v>
      </c>
      <c r="L22" s="438">
        <v>0</v>
      </c>
      <c r="M22" s="438">
        <v>0</v>
      </c>
      <c r="N22" s="438">
        <v>0</v>
      </c>
    </row>
    <row r="23" spans="1:14" ht="31.5" x14ac:dyDescent="0.2">
      <c r="A23" s="430" t="s">
        <v>320</v>
      </c>
      <c r="B23" s="429" t="s">
        <v>270</v>
      </c>
      <c r="C23" s="438">
        <v>0</v>
      </c>
      <c r="D23" s="436">
        <v>0</v>
      </c>
      <c r="E23" s="438">
        <v>0</v>
      </c>
      <c r="F23" s="437">
        <v>0</v>
      </c>
      <c r="G23" s="437">
        <v>0</v>
      </c>
      <c r="H23" s="437">
        <v>0</v>
      </c>
      <c r="I23" s="437">
        <v>0</v>
      </c>
      <c r="J23" s="437">
        <v>0</v>
      </c>
      <c r="K23" s="437">
        <v>0</v>
      </c>
      <c r="L23" s="438">
        <v>0</v>
      </c>
      <c r="M23" s="438">
        <v>0</v>
      </c>
      <c r="N23" s="438">
        <v>0</v>
      </c>
    </row>
    <row r="24" spans="1:14" ht="15.75" x14ac:dyDescent="0.2">
      <c r="A24" s="430" t="s">
        <v>304</v>
      </c>
      <c r="B24" s="429" t="s">
        <v>270</v>
      </c>
      <c r="C24" s="438">
        <v>147.51581793893132</v>
      </c>
      <c r="D24" s="436">
        <v>0</v>
      </c>
      <c r="E24" s="438">
        <v>0</v>
      </c>
      <c r="F24" s="437">
        <v>0</v>
      </c>
      <c r="G24" s="437">
        <v>0</v>
      </c>
      <c r="H24" s="437">
        <v>0</v>
      </c>
      <c r="I24" s="437">
        <v>0</v>
      </c>
      <c r="J24" s="437">
        <v>0</v>
      </c>
      <c r="K24" s="437">
        <v>0</v>
      </c>
      <c r="L24" s="438">
        <v>0</v>
      </c>
      <c r="M24" s="438">
        <v>0</v>
      </c>
      <c r="N24" s="438">
        <v>0</v>
      </c>
    </row>
    <row r="25" spans="1:14" ht="31.5" x14ac:dyDescent="0.2">
      <c r="A25" s="442" t="s">
        <v>347</v>
      </c>
      <c r="B25" s="433" t="s">
        <v>270</v>
      </c>
      <c r="C25" s="436">
        <v>444.23099999999999</v>
      </c>
      <c r="D25" s="436">
        <v>539.83594604447683</v>
      </c>
      <c r="E25" s="436">
        <v>18.183483497280335</v>
      </c>
      <c r="F25" s="437">
        <v>0</v>
      </c>
      <c r="G25" s="437">
        <v>0</v>
      </c>
      <c r="H25" s="437">
        <v>0</v>
      </c>
      <c r="I25" s="437">
        <v>0</v>
      </c>
      <c r="J25" s="437">
        <v>0</v>
      </c>
      <c r="K25" s="437">
        <v>0</v>
      </c>
      <c r="L25" s="436">
        <v>444.23099999999999</v>
      </c>
      <c r="M25" s="436">
        <v>539.83594604447683</v>
      </c>
      <c r="N25" s="436">
        <v>18.183483497280335</v>
      </c>
    </row>
    <row r="26" spans="1:14" ht="15.75" x14ac:dyDescent="0.2">
      <c r="A26" s="430" t="s">
        <v>303</v>
      </c>
      <c r="B26" s="429" t="s">
        <v>270</v>
      </c>
      <c r="C26" s="438">
        <v>264</v>
      </c>
      <c r="D26" s="436">
        <v>0</v>
      </c>
      <c r="E26" s="438">
        <v>0</v>
      </c>
      <c r="F26" s="437">
        <v>0</v>
      </c>
      <c r="G26" s="437">
        <v>0</v>
      </c>
      <c r="H26" s="437">
        <v>0</v>
      </c>
      <c r="I26" s="437">
        <v>0</v>
      </c>
      <c r="J26" s="437">
        <v>0</v>
      </c>
      <c r="K26" s="437">
        <v>0</v>
      </c>
      <c r="L26" s="438">
        <v>0</v>
      </c>
      <c r="M26" s="438">
        <v>0</v>
      </c>
      <c r="N26" s="438">
        <v>0</v>
      </c>
    </row>
    <row r="27" spans="1:14" ht="31.5" x14ac:dyDescent="0.2">
      <c r="A27" s="430" t="s">
        <v>320</v>
      </c>
      <c r="B27" s="429" t="s">
        <v>270</v>
      </c>
      <c r="C27" s="438">
        <v>58.08</v>
      </c>
      <c r="D27" s="436">
        <v>70.579657309515127</v>
      </c>
      <c r="E27" s="438">
        <v>2.377359350252553</v>
      </c>
      <c r="F27" s="437">
        <v>0</v>
      </c>
      <c r="G27" s="437">
        <v>0</v>
      </c>
      <c r="H27" s="447">
        <v>0</v>
      </c>
      <c r="I27" s="437">
        <v>0</v>
      </c>
      <c r="J27" s="437">
        <v>0</v>
      </c>
      <c r="K27" s="437">
        <v>0</v>
      </c>
      <c r="L27" s="438">
        <v>58.08</v>
      </c>
      <c r="M27" s="438">
        <v>70.579657309515127</v>
      </c>
      <c r="N27" s="438">
        <v>2.377359350252553</v>
      </c>
    </row>
    <row r="28" spans="1:14" ht="15.75" x14ac:dyDescent="0.2">
      <c r="A28" s="430" t="s">
        <v>304</v>
      </c>
      <c r="B28" s="429" t="s">
        <v>270</v>
      </c>
      <c r="C28" s="438">
        <v>122.151</v>
      </c>
      <c r="D28" s="436">
        <v>148.43966460080202</v>
      </c>
      <c r="E28" s="438">
        <v>4.9999452822434503</v>
      </c>
      <c r="F28" s="437">
        <v>0</v>
      </c>
      <c r="G28" s="437">
        <v>0</v>
      </c>
      <c r="H28" s="437">
        <v>0</v>
      </c>
      <c r="I28" s="437">
        <v>0</v>
      </c>
      <c r="J28" s="437">
        <v>0</v>
      </c>
      <c r="K28" s="437">
        <v>0</v>
      </c>
      <c r="L28" s="438">
        <v>122.151</v>
      </c>
      <c r="M28" s="438">
        <v>148.43966460080202</v>
      </c>
      <c r="N28" s="438">
        <v>4.9999452822434503</v>
      </c>
    </row>
    <row r="29" spans="1:14" ht="15.75" x14ac:dyDescent="0.2">
      <c r="A29" s="430" t="s">
        <v>306</v>
      </c>
      <c r="B29" s="429" t="s">
        <v>270</v>
      </c>
      <c r="C29" s="438">
        <v>0</v>
      </c>
      <c r="D29" s="436">
        <v>0</v>
      </c>
      <c r="E29" s="439">
        <v>0</v>
      </c>
      <c r="F29" s="437">
        <v>0</v>
      </c>
      <c r="G29" s="437">
        <v>0</v>
      </c>
      <c r="H29" s="437">
        <v>0</v>
      </c>
      <c r="I29" s="437">
        <v>0</v>
      </c>
      <c r="J29" s="437">
        <v>0</v>
      </c>
      <c r="K29" s="437">
        <v>0</v>
      </c>
      <c r="L29" s="438">
        <v>0</v>
      </c>
      <c r="M29" s="438">
        <v>0</v>
      </c>
      <c r="N29" s="439">
        <v>0</v>
      </c>
    </row>
    <row r="30" spans="1:14" ht="15.75" x14ac:dyDescent="0.2">
      <c r="A30" s="430" t="s">
        <v>303</v>
      </c>
      <c r="B30" s="429" t="s">
        <v>270</v>
      </c>
      <c r="C30" s="438">
        <v>0</v>
      </c>
      <c r="D30" s="436">
        <v>0</v>
      </c>
      <c r="E30" s="438">
        <v>0</v>
      </c>
      <c r="F30" s="437">
        <v>0</v>
      </c>
      <c r="G30" s="437">
        <v>0</v>
      </c>
      <c r="H30" s="437">
        <v>0</v>
      </c>
      <c r="I30" s="437">
        <v>0</v>
      </c>
      <c r="J30" s="437">
        <v>0</v>
      </c>
      <c r="K30" s="437">
        <v>0</v>
      </c>
      <c r="L30" s="438">
        <v>0</v>
      </c>
      <c r="M30" s="438">
        <v>0</v>
      </c>
      <c r="N30" s="438">
        <v>0</v>
      </c>
    </row>
    <row r="31" spans="1:14" ht="31.5" x14ac:dyDescent="0.2">
      <c r="A31" s="430" t="s">
        <v>320</v>
      </c>
      <c r="B31" s="429" t="s">
        <v>270</v>
      </c>
      <c r="C31" s="438">
        <v>0</v>
      </c>
      <c r="D31" s="436">
        <v>0</v>
      </c>
      <c r="E31" s="438">
        <v>0</v>
      </c>
      <c r="F31" s="437">
        <v>0</v>
      </c>
      <c r="G31" s="437">
        <v>0</v>
      </c>
      <c r="H31" s="437">
        <v>0</v>
      </c>
      <c r="I31" s="437">
        <v>0</v>
      </c>
      <c r="J31" s="437">
        <v>0</v>
      </c>
      <c r="K31" s="437">
        <v>0</v>
      </c>
      <c r="L31" s="438">
        <v>0</v>
      </c>
      <c r="M31" s="438">
        <v>0</v>
      </c>
      <c r="N31" s="438">
        <v>0</v>
      </c>
    </row>
    <row r="32" spans="1:14" ht="15.75" x14ac:dyDescent="0.2">
      <c r="A32" s="430" t="s">
        <v>305</v>
      </c>
      <c r="B32" s="429" t="s">
        <v>270</v>
      </c>
      <c r="C32" s="438">
        <v>0</v>
      </c>
      <c r="D32" s="436">
        <v>0</v>
      </c>
      <c r="E32" s="438">
        <v>0</v>
      </c>
      <c r="F32" s="437">
        <v>0</v>
      </c>
      <c r="G32" s="437">
        <v>0</v>
      </c>
      <c r="H32" s="437">
        <v>0</v>
      </c>
      <c r="I32" s="437">
        <v>0</v>
      </c>
      <c r="J32" s="437">
        <v>0</v>
      </c>
      <c r="K32" s="437">
        <v>0</v>
      </c>
      <c r="L32" s="438">
        <v>0</v>
      </c>
      <c r="M32" s="438">
        <v>0</v>
      </c>
      <c r="N32" s="438">
        <v>0</v>
      </c>
    </row>
    <row r="33" spans="1:14" ht="38.1" customHeight="1" x14ac:dyDescent="0.2">
      <c r="A33" s="449"/>
      <c r="B33" s="450"/>
      <c r="C33" s="451"/>
      <c r="D33" s="452"/>
      <c r="E33" s="451"/>
      <c r="F33" s="453"/>
      <c r="G33" s="453"/>
      <c r="H33" s="453"/>
      <c r="I33" s="453"/>
      <c r="J33" s="453"/>
      <c r="K33" s="453"/>
      <c r="L33" s="451"/>
      <c r="M33" s="553" t="s">
        <v>355</v>
      </c>
      <c r="N33" s="553"/>
    </row>
    <row r="34" spans="1:14" ht="15.75" x14ac:dyDescent="0.2">
      <c r="A34" s="430" t="s">
        <v>307</v>
      </c>
      <c r="B34" s="429" t="s">
        <v>270</v>
      </c>
      <c r="C34" s="438">
        <v>0</v>
      </c>
      <c r="D34" s="436">
        <v>0</v>
      </c>
      <c r="E34" s="438">
        <v>0</v>
      </c>
      <c r="F34" s="437">
        <v>0</v>
      </c>
      <c r="G34" s="437">
        <v>0</v>
      </c>
      <c r="H34" s="437">
        <v>0</v>
      </c>
      <c r="I34" s="437">
        <v>0</v>
      </c>
      <c r="J34" s="437">
        <v>0</v>
      </c>
      <c r="K34" s="437">
        <v>0</v>
      </c>
      <c r="L34" s="438">
        <v>0</v>
      </c>
      <c r="M34" s="438">
        <v>0</v>
      </c>
      <c r="N34" s="438">
        <v>0</v>
      </c>
    </row>
    <row r="35" spans="1:14" ht="15.75" x14ac:dyDescent="0.2">
      <c r="A35" s="430" t="s">
        <v>308</v>
      </c>
      <c r="B35" s="429" t="s">
        <v>270</v>
      </c>
      <c r="C35" s="438">
        <v>0</v>
      </c>
      <c r="D35" s="436">
        <v>0</v>
      </c>
      <c r="E35" s="438">
        <v>0</v>
      </c>
      <c r="F35" s="437">
        <v>0</v>
      </c>
      <c r="G35" s="437">
        <v>0</v>
      </c>
      <c r="H35" s="437">
        <v>0</v>
      </c>
      <c r="I35" s="437">
        <v>0</v>
      </c>
      <c r="J35" s="437">
        <v>0</v>
      </c>
      <c r="K35" s="437">
        <v>0</v>
      </c>
      <c r="L35" s="438">
        <v>0</v>
      </c>
      <c r="M35" s="438">
        <v>0</v>
      </c>
      <c r="N35" s="438">
        <v>0</v>
      </c>
    </row>
    <row r="36" spans="1:14" s="12" customFormat="1" ht="15.75" x14ac:dyDescent="0.2">
      <c r="A36" s="442" t="s">
        <v>309</v>
      </c>
      <c r="B36" s="433" t="s">
        <v>270</v>
      </c>
      <c r="C36" s="436">
        <v>2443.0467356073036</v>
      </c>
      <c r="D36" s="436">
        <v>2968.8257815133106</v>
      </c>
      <c r="E36" s="436">
        <v>100</v>
      </c>
      <c r="F36" s="437">
        <v>0</v>
      </c>
      <c r="G36" s="437">
        <v>0</v>
      </c>
      <c r="H36" s="437">
        <v>0</v>
      </c>
      <c r="I36" s="437">
        <v>0</v>
      </c>
      <c r="J36" s="437">
        <v>0</v>
      </c>
      <c r="K36" s="437">
        <v>0</v>
      </c>
      <c r="L36" s="436">
        <v>2443.0467356073036</v>
      </c>
      <c r="M36" s="436">
        <v>2968.8257815133106</v>
      </c>
      <c r="N36" s="436">
        <v>100</v>
      </c>
    </row>
    <row r="37" spans="1:14" ht="31.5" x14ac:dyDescent="0.2">
      <c r="A37" s="430" t="s">
        <v>310</v>
      </c>
      <c r="B37" s="429" t="s">
        <v>270</v>
      </c>
      <c r="C37" s="438">
        <v>0</v>
      </c>
      <c r="D37" s="436">
        <v>0</v>
      </c>
      <c r="E37" s="438">
        <v>0</v>
      </c>
      <c r="F37" s="437">
        <v>0</v>
      </c>
      <c r="G37" s="437">
        <v>0</v>
      </c>
      <c r="H37" s="437">
        <v>0</v>
      </c>
      <c r="I37" s="437">
        <v>0</v>
      </c>
      <c r="J37" s="437">
        <v>0</v>
      </c>
      <c r="K37" s="437">
        <v>0</v>
      </c>
      <c r="L37" s="438">
        <v>0</v>
      </c>
      <c r="M37" s="438">
        <v>0</v>
      </c>
      <c r="N37" s="438">
        <v>0</v>
      </c>
    </row>
    <row r="38" spans="1:14" ht="31.5" x14ac:dyDescent="0.2">
      <c r="A38" s="430" t="s">
        <v>311</v>
      </c>
      <c r="B38" s="429" t="s">
        <v>270</v>
      </c>
      <c r="C38" s="438">
        <v>0</v>
      </c>
      <c r="D38" s="436">
        <v>0</v>
      </c>
      <c r="E38" s="438">
        <v>0</v>
      </c>
      <c r="F38" s="437">
        <v>0</v>
      </c>
      <c r="G38" s="437">
        <v>0</v>
      </c>
      <c r="H38" s="437">
        <v>0</v>
      </c>
      <c r="I38" s="437">
        <v>0</v>
      </c>
      <c r="J38" s="437">
        <v>0</v>
      </c>
      <c r="K38" s="437">
        <v>0</v>
      </c>
      <c r="L38" s="438">
        <v>0</v>
      </c>
      <c r="M38" s="438">
        <v>0</v>
      </c>
      <c r="N38" s="438">
        <v>0</v>
      </c>
    </row>
    <row r="39" spans="1:14" ht="15.75" x14ac:dyDescent="0.2">
      <c r="A39" s="430" t="s">
        <v>211</v>
      </c>
      <c r="B39" s="429" t="s">
        <v>270</v>
      </c>
      <c r="C39" s="438">
        <v>0</v>
      </c>
      <c r="D39" s="436">
        <v>0</v>
      </c>
      <c r="E39" s="438">
        <v>0</v>
      </c>
      <c r="F39" s="437">
        <v>0</v>
      </c>
      <c r="G39" s="437">
        <v>0</v>
      </c>
      <c r="H39" s="437">
        <v>0</v>
      </c>
      <c r="I39" s="437">
        <v>0</v>
      </c>
      <c r="J39" s="437">
        <v>0</v>
      </c>
      <c r="K39" s="437">
        <v>0</v>
      </c>
      <c r="L39" s="438">
        <v>0</v>
      </c>
      <c r="M39" s="438">
        <v>0</v>
      </c>
      <c r="N39" s="438">
        <v>0</v>
      </c>
    </row>
    <row r="40" spans="1:14" ht="15.75" x14ac:dyDescent="0.2">
      <c r="A40" s="430" t="s">
        <v>312</v>
      </c>
      <c r="B40" s="429" t="s">
        <v>270</v>
      </c>
      <c r="C40" s="438">
        <v>0</v>
      </c>
      <c r="D40" s="436">
        <v>0</v>
      </c>
      <c r="E40" s="438">
        <v>8.77</v>
      </c>
      <c r="F40" s="437">
        <v>0</v>
      </c>
      <c r="G40" s="437">
        <v>0</v>
      </c>
      <c r="H40" s="437">
        <v>0</v>
      </c>
      <c r="I40" s="437">
        <v>0</v>
      </c>
      <c r="J40" s="437">
        <v>0</v>
      </c>
      <c r="K40" s="437">
        <v>0</v>
      </c>
      <c r="L40" s="438">
        <v>0</v>
      </c>
      <c r="M40" s="438">
        <v>0</v>
      </c>
      <c r="N40" s="438">
        <v>8.77</v>
      </c>
    </row>
    <row r="41" spans="1:14" ht="15.75" x14ac:dyDescent="0.2">
      <c r="A41" s="430" t="s">
        <v>313</v>
      </c>
      <c r="B41" s="429" t="s">
        <v>270</v>
      </c>
      <c r="C41" s="438">
        <v>0</v>
      </c>
      <c r="D41" s="436">
        <v>0</v>
      </c>
      <c r="E41" s="438">
        <v>0</v>
      </c>
      <c r="F41" s="437">
        <v>0</v>
      </c>
      <c r="G41" s="437">
        <v>0</v>
      </c>
      <c r="H41" s="437">
        <v>0</v>
      </c>
      <c r="I41" s="437">
        <v>0</v>
      </c>
      <c r="J41" s="437">
        <v>0</v>
      </c>
      <c r="K41" s="437">
        <v>0</v>
      </c>
      <c r="L41" s="438">
        <v>0</v>
      </c>
      <c r="M41" s="438">
        <v>0</v>
      </c>
      <c r="N41" s="438">
        <v>0</v>
      </c>
    </row>
    <row r="42" spans="1:14" ht="47.25" x14ac:dyDescent="0.2">
      <c r="A42" s="430" t="s">
        <v>350</v>
      </c>
      <c r="B42" s="429" t="s">
        <v>270</v>
      </c>
      <c r="C42" s="438">
        <v>0</v>
      </c>
      <c r="D42" s="436">
        <v>0</v>
      </c>
      <c r="E42" s="438">
        <v>0</v>
      </c>
      <c r="F42" s="445">
        <v>0</v>
      </c>
      <c r="G42" s="437">
        <v>0</v>
      </c>
      <c r="H42" s="437">
        <v>0</v>
      </c>
      <c r="I42" s="437">
        <v>0</v>
      </c>
      <c r="J42" s="437">
        <v>0</v>
      </c>
      <c r="K42" s="437">
        <v>0</v>
      </c>
      <c r="L42" s="438">
        <v>0</v>
      </c>
      <c r="M42" s="438">
        <v>0</v>
      </c>
      <c r="N42" s="438">
        <v>0</v>
      </c>
    </row>
    <row r="43" spans="1:14" ht="31.5" x14ac:dyDescent="0.2">
      <c r="A43" s="430" t="s">
        <v>314</v>
      </c>
      <c r="B43" s="429" t="s">
        <v>270</v>
      </c>
      <c r="C43" s="438">
        <v>0</v>
      </c>
      <c r="D43" s="436"/>
      <c r="E43" s="438">
        <v>0</v>
      </c>
      <c r="F43" s="437">
        <v>0</v>
      </c>
      <c r="G43" s="437">
        <v>0</v>
      </c>
      <c r="H43" s="437">
        <v>0</v>
      </c>
      <c r="I43" s="437">
        <v>0</v>
      </c>
      <c r="J43" s="437">
        <v>0</v>
      </c>
      <c r="K43" s="437">
        <v>0</v>
      </c>
      <c r="L43" s="438">
        <v>0</v>
      </c>
      <c r="M43" s="438">
        <v>0</v>
      </c>
      <c r="N43" s="438">
        <v>0</v>
      </c>
    </row>
    <row r="44" spans="1:14" ht="70.5" customHeight="1" x14ac:dyDescent="0.2">
      <c r="A44" s="442" t="s">
        <v>315</v>
      </c>
      <c r="B44" s="429" t="s">
        <v>270</v>
      </c>
      <c r="C44" s="436">
        <v>2443.0467356073036</v>
      </c>
      <c r="D44" s="436">
        <v>0</v>
      </c>
      <c r="E44" s="436">
        <v>99.999999999999986</v>
      </c>
      <c r="F44" s="437">
        <v>0</v>
      </c>
      <c r="G44" s="437">
        <v>0</v>
      </c>
      <c r="H44" s="437">
        <v>0</v>
      </c>
      <c r="I44" s="437">
        <v>0</v>
      </c>
      <c r="J44" s="437">
        <v>0</v>
      </c>
      <c r="K44" s="437">
        <v>0</v>
      </c>
      <c r="L44" s="436">
        <v>2443.0467356073036</v>
      </c>
      <c r="M44" s="438">
        <v>0</v>
      </c>
      <c r="N44" s="436">
        <v>99.999999999999986</v>
      </c>
    </row>
    <row r="45" spans="1:14" ht="36" customHeight="1" x14ac:dyDescent="0.2">
      <c r="A45" s="442" t="s">
        <v>348</v>
      </c>
      <c r="B45" s="429" t="s">
        <v>39</v>
      </c>
      <c r="C45" s="435" t="s">
        <v>213</v>
      </c>
      <c r="D45" s="436">
        <v>2968.8257815133106</v>
      </c>
      <c r="E45" s="436" t="s">
        <v>213</v>
      </c>
      <c r="F45" s="437">
        <v>0</v>
      </c>
      <c r="G45" s="437">
        <v>0</v>
      </c>
      <c r="H45" s="437">
        <v>0</v>
      </c>
      <c r="I45" s="437">
        <v>0</v>
      </c>
      <c r="J45" s="437">
        <v>0</v>
      </c>
      <c r="K45" s="437">
        <v>0</v>
      </c>
      <c r="L45" s="435" t="s">
        <v>213</v>
      </c>
      <c r="M45" s="436">
        <v>2968.8257815133106</v>
      </c>
      <c r="N45" s="436" t="s">
        <v>213</v>
      </c>
    </row>
    <row r="46" spans="1:14" ht="31.5" x14ac:dyDescent="0.2">
      <c r="A46" s="442" t="s">
        <v>316</v>
      </c>
      <c r="B46" s="441" t="s">
        <v>48</v>
      </c>
      <c r="C46" s="551">
        <v>822.90000000000009</v>
      </c>
      <c r="D46" s="551"/>
      <c r="E46" s="551"/>
      <c r="F46" s="551"/>
      <c r="G46" s="551"/>
      <c r="H46" s="551"/>
      <c r="I46" s="551"/>
      <c r="J46" s="551"/>
      <c r="K46" s="551"/>
      <c r="L46" s="551"/>
      <c r="M46" s="551"/>
      <c r="N46" s="551"/>
    </row>
    <row r="47" spans="1:14" ht="20.45" customHeight="1" x14ac:dyDescent="0.2"/>
    <row r="48" spans="1:14" ht="32.65" customHeight="1" x14ac:dyDescent="0.25">
      <c r="A48" s="494" t="s">
        <v>358</v>
      </c>
      <c r="B48" s="494"/>
      <c r="L48" s="547" t="s">
        <v>359</v>
      </c>
      <c r="M48" s="547"/>
    </row>
    <row r="49" spans="1:14" s="4" customFormat="1" ht="33.4" customHeight="1" x14ac:dyDescent="0.25">
      <c r="E49" s="380"/>
      <c r="H49" s="448"/>
      <c r="I49" s="448"/>
      <c r="L49" s="494"/>
      <c r="M49" s="494"/>
    </row>
    <row r="50" spans="1:14" ht="31.5" x14ac:dyDescent="0.25">
      <c r="A50" s="454" t="s">
        <v>356</v>
      </c>
      <c r="L50" s="547" t="s">
        <v>357</v>
      </c>
      <c r="M50" s="547"/>
    </row>
    <row r="52" spans="1:14" hidden="1" x14ac:dyDescent="0.2">
      <c r="D52" s="446">
        <v>2968.8257815133102</v>
      </c>
    </row>
    <row r="53" spans="1:14" hidden="1" x14ac:dyDescent="0.2"/>
    <row r="54" spans="1:14" ht="25.15" customHeight="1" x14ac:dyDescent="0.2"/>
    <row r="55" spans="1:14" ht="15.75" x14ac:dyDescent="0.25">
      <c r="A55" s="4" t="s">
        <v>361</v>
      </c>
    </row>
    <row r="56" spans="1:14" ht="54.4" customHeight="1" x14ac:dyDescent="0.25">
      <c r="A56" s="4" t="s">
        <v>353</v>
      </c>
      <c r="B56" s="4"/>
      <c r="C56" s="4"/>
      <c r="D56" s="4"/>
      <c r="E56" s="380"/>
      <c r="H56" s="448"/>
      <c r="I56" s="448"/>
      <c r="J56" s="4"/>
      <c r="K56" s="4"/>
      <c r="L56" s="494" t="s">
        <v>352</v>
      </c>
      <c r="M56" s="494"/>
      <c r="N56" s="4"/>
    </row>
  </sheetData>
  <mergeCells count="17">
    <mergeCell ref="A48:B48"/>
    <mergeCell ref="L50:M50"/>
    <mergeCell ref="L1:N1"/>
    <mergeCell ref="L49:M49"/>
    <mergeCell ref="L56:M56"/>
    <mergeCell ref="A3:N3"/>
    <mergeCell ref="A4:N4"/>
    <mergeCell ref="C46:N46"/>
    <mergeCell ref="A5:A6"/>
    <mergeCell ref="B5:B6"/>
    <mergeCell ref="C6:E6"/>
    <mergeCell ref="F6:H6"/>
    <mergeCell ref="I6:K6"/>
    <mergeCell ref="L6:N6"/>
    <mergeCell ref="C5:N5"/>
    <mergeCell ref="M33:N33"/>
    <mergeCell ref="L48:M48"/>
  </mergeCells>
  <printOptions horizontalCentered="1"/>
  <pageMargins left="0" right="0" top="0.59055118110236227" bottom="0" header="0" footer="0"/>
  <pageSetup paperSize="9" scale="77" fitToHeight="0" orientation="landscape" r:id="rId1"/>
  <headerFooter differentFirst="1">
    <oddHeader>&amp;C2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K530"/>
  <sheetViews>
    <sheetView zoomScale="78" zoomScaleNormal="78" workbookViewId="0">
      <selection activeCell="J15" sqref="J15"/>
    </sheetView>
  </sheetViews>
  <sheetFormatPr defaultColWidth="9.140625" defaultRowHeight="12.75" x14ac:dyDescent="0.2"/>
  <cols>
    <col min="1" max="1" width="11.140625" style="1" customWidth="1"/>
    <col min="2" max="2" width="13.42578125" style="1" customWidth="1"/>
    <col min="3" max="3" width="12.5703125" style="1" customWidth="1"/>
    <col min="4" max="4" width="13.5703125" style="1" customWidth="1"/>
    <col min="5" max="5" width="11" style="1" customWidth="1"/>
    <col min="6" max="6" width="10.85546875" style="1" customWidth="1"/>
    <col min="7" max="7" width="12.5703125" style="1" customWidth="1"/>
    <col min="8" max="8" width="7.140625" style="1" customWidth="1"/>
    <col min="9" max="9" width="8.140625" style="1" customWidth="1"/>
    <col min="10" max="10" width="13.28515625" style="1" customWidth="1"/>
    <col min="11" max="11" width="10.28515625" style="1" customWidth="1"/>
    <col min="12" max="12" width="9.5703125" style="1" customWidth="1"/>
    <col min="13" max="13" width="10.5703125" style="1" customWidth="1"/>
    <col min="14" max="14" width="9.5703125" style="1" customWidth="1"/>
    <col min="15" max="15" width="10.5703125" style="1" customWidth="1"/>
    <col min="16" max="16" width="10.7109375" style="1" customWidth="1"/>
    <col min="17" max="17" width="11.7109375" style="1" customWidth="1"/>
    <col min="18" max="18" width="9.140625" style="1"/>
    <col min="19" max="19" width="10.85546875" style="1" customWidth="1"/>
    <col min="20" max="20" width="10" style="1" customWidth="1"/>
    <col min="21" max="21" width="9.42578125" style="1" customWidth="1"/>
    <col min="22" max="22" width="11.42578125" style="1" customWidth="1"/>
    <col min="23" max="23" width="9.7109375" style="1" customWidth="1"/>
    <col min="24" max="25" width="9.140625" style="1"/>
    <col min="26" max="26" width="10.7109375" style="1" customWidth="1"/>
    <col min="27" max="27" width="18" style="1" customWidth="1"/>
    <col min="28" max="28" width="9.140625" style="1"/>
    <col min="29" max="29" width="10.7109375" style="1" customWidth="1"/>
    <col min="30" max="31" width="9.140625" style="1"/>
    <col min="32" max="32" width="6.7109375" style="1" customWidth="1"/>
    <col min="33" max="36" width="9.140625" style="1"/>
    <col min="37" max="37" width="12.85546875" style="1" customWidth="1"/>
    <col min="38" max="16384" width="9.140625" style="1"/>
  </cols>
  <sheetData>
    <row r="1" spans="1:27" s="176" customFormat="1" ht="20.25" x14ac:dyDescent="0.3">
      <c r="A1" s="528" t="s">
        <v>27</v>
      </c>
      <c r="B1" s="528"/>
      <c r="C1" s="528"/>
      <c r="D1" s="528"/>
      <c r="E1" s="528"/>
      <c r="F1" s="528"/>
      <c r="G1" s="528"/>
      <c r="H1" s="528"/>
      <c r="I1" s="528"/>
      <c r="J1" s="528"/>
      <c r="K1" s="528"/>
      <c r="L1" s="528"/>
      <c r="M1" s="528"/>
      <c r="N1" s="528"/>
      <c r="O1" s="528"/>
      <c r="P1" s="321"/>
      <c r="Q1" s="321"/>
      <c r="R1" s="321"/>
      <c r="S1" s="321"/>
      <c r="T1" s="175"/>
      <c r="U1" s="175"/>
      <c r="V1" s="175"/>
      <c r="W1" s="175"/>
      <c r="X1" s="175"/>
      <c r="Y1" s="175"/>
      <c r="Z1" s="175"/>
      <c r="AA1" s="175"/>
    </row>
    <row r="2" spans="1:27" s="176" customFormat="1" ht="20.25" x14ac:dyDescent="0.3">
      <c r="A2" s="321"/>
      <c r="B2" s="321"/>
      <c r="C2" s="321"/>
      <c r="D2" s="321"/>
      <c r="E2" s="321"/>
      <c r="F2" s="321"/>
      <c r="G2" s="321"/>
      <c r="H2" s="321"/>
      <c r="I2" s="321"/>
      <c r="J2" s="321"/>
      <c r="K2" s="321"/>
      <c r="L2" s="321"/>
      <c r="M2" s="321"/>
      <c r="N2" s="321"/>
      <c r="O2" s="321"/>
      <c r="P2" s="321"/>
      <c r="Q2" s="175"/>
      <c r="R2" s="175"/>
      <c r="S2" s="175"/>
      <c r="T2" s="175"/>
      <c r="U2" s="175"/>
      <c r="V2" s="175"/>
      <c r="W2" s="175"/>
      <c r="X2" s="175"/>
      <c r="Y2" s="175"/>
      <c r="Z2" s="175"/>
      <c r="AA2" s="175"/>
    </row>
    <row r="3" spans="1:27" s="176" customFormat="1" ht="20.25" x14ac:dyDescent="0.3">
      <c r="A3" s="321"/>
      <c r="B3" s="177"/>
      <c r="C3" s="177" t="s">
        <v>74</v>
      </c>
      <c r="D3" s="178" t="s">
        <v>75</v>
      </c>
      <c r="E3" s="177" t="s">
        <v>76</v>
      </c>
      <c r="F3" s="177" t="s">
        <v>77</v>
      </c>
      <c r="G3" s="179" t="s">
        <v>78</v>
      </c>
      <c r="H3" s="177" t="s">
        <v>79</v>
      </c>
      <c r="I3" s="179" t="s">
        <v>80</v>
      </c>
      <c r="J3" s="180"/>
      <c r="K3" s="181"/>
      <c r="L3" s="181"/>
      <c r="M3" s="182"/>
      <c r="N3" s="182"/>
      <c r="O3" s="321"/>
      <c r="P3" s="321"/>
      <c r="Q3" s="175"/>
      <c r="R3" s="183" t="s">
        <v>81</v>
      </c>
      <c r="S3" s="175"/>
      <c r="T3" s="183"/>
      <c r="U3" s="175"/>
      <c r="V3" s="175"/>
      <c r="W3" s="175"/>
      <c r="X3" s="175"/>
      <c r="Y3" s="175"/>
      <c r="Z3" s="175"/>
      <c r="AA3" s="175"/>
    </row>
    <row r="4" spans="1:27" s="176" customFormat="1" ht="20.25" x14ac:dyDescent="0.3">
      <c r="A4" s="321"/>
      <c r="B4" s="184" t="s">
        <v>41</v>
      </c>
      <c r="C4" s="185" t="e">
        <f>I4*24</f>
        <v>#REF!</v>
      </c>
      <c r="D4" s="186" t="e">
        <f>#REF!</f>
        <v>#REF!</v>
      </c>
      <c r="E4" s="186">
        <v>62</v>
      </c>
      <c r="F4" s="186">
        <v>49</v>
      </c>
      <c r="G4" s="186">
        <v>4.7</v>
      </c>
      <c r="H4" s="186">
        <v>5</v>
      </c>
      <c r="I4" s="186" t="e">
        <f>#REF!</f>
        <v>#REF!</v>
      </c>
      <c r="J4" s="182"/>
      <c r="K4" s="182"/>
      <c r="L4" s="182"/>
      <c r="M4" s="182"/>
      <c r="N4" s="321"/>
      <c r="O4" s="321"/>
      <c r="P4" s="175"/>
      <c r="Q4" s="175"/>
      <c r="R4" s="175"/>
      <c r="S4" s="175"/>
      <c r="T4" s="175"/>
      <c r="U4" s="175"/>
      <c r="V4" s="175"/>
      <c r="W4" s="175"/>
      <c r="X4" s="175"/>
      <c r="Y4" s="175"/>
      <c r="Z4" s="175"/>
      <c r="AA4" s="175"/>
    </row>
    <row r="5" spans="1:27" s="176" customFormat="1" ht="20.25" x14ac:dyDescent="0.3">
      <c r="A5" s="321"/>
      <c r="B5" s="184" t="s">
        <v>42</v>
      </c>
      <c r="C5" s="185" t="e">
        <f t="shared" ref="C5:C10" si="0">I5*24</f>
        <v>#REF!</v>
      </c>
      <c r="D5" s="186" t="e">
        <f>#REF!</f>
        <v>#REF!</v>
      </c>
      <c r="E5" s="186">
        <v>57</v>
      </c>
      <c r="F5" s="186">
        <v>46</v>
      </c>
      <c r="G5" s="186">
        <v>3.4</v>
      </c>
      <c r="H5" s="186">
        <v>5</v>
      </c>
      <c r="I5" s="186" t="e">
        <f>#REF!</f>
        <v>#REF!</v>
      </c>
      <c r="J5" s="182"/>
      <c r="K5" s="182"/>
      <c r="L5" s="182"/>
      <c r="M5" s="182"/>
      <c r="N5" s="321"/>
      <c r="O5" s="321"/>
      <c r="P5" s="175"/>
      <c r="Q5" s="175"/>
      <c r="R5" s="187" t="s">
        <v>82</v>
      </c>
      <c r="S5" s="175"/>
      <c r="T5" s="175"/>
      <c r="U5" s="175"/>
      <c r="V5" s="175"/>
      <c r="W5" s="175"/>
      <c r="X5" s="183" t="s">
        <v>83</v>
      </c>
      <c r="Y5" s="175"/>
      <c r="Z5" s="175"/>
      <c r="AA5" s="175"/>
    </row>
    <row r="6" spans="1:27" s="176" customFormat="1" ht="20.25" x14ac:dyDescent="0.3">
      <c r="A6" s="321"/>
      <c r="B6" s="184" t="s">
        <v>43</v>
      </c>
      <c r="C6" s="185" t="e">
        <f t="shared" si="0"/>
        <v>#REF!</v>
      </c>
      <c r="D6" s="186" t="e">
        <f>#REF!</f>
        <v>#REF!</v>
      </c>
      <c r="E6" s="186">
        <v>49</v>
      </c>
      <c r="F6" s="186">
        <v>41</v>
      </c>
      <c r="G6" s="186">
        <v>5.6</v>
      </c>
      <c r="H6" s="186">
        <v>5</v>
      </c>
      <c r="I6" s="186" t="e">
        <f>#REF!</f>
        <v>#REF!</v>
      </c>
      <c r="J6" s="182"/>
      <c r="K6" s="182"/>
      <c r="L6" s="182"/>
      <c r="M6" s="182"/>
      <c r="N6" s="321"/>
      <c r="O6" s="321"/>
      <c r="P6" s="175"/>
      <c r="Q6" s="175"/>
      <c r="R6" s="175"/>
      <c r="S6" s="175"/>
      <c r="T6" s="175"/>
      <c r="U6" s="175"/>
      <c r="V6" s="175"/>
      <c r="W6" s="175"/>
      <c r="X6" s="175"/>
      <c r="Y6" s="175"/>
      <c r="Z6" s="175"/>
      <c r="AA6" s="175"/>
    </row>
    <row r="7" spans="1:27" s="176" customFormat="1" ht="20.25" x14ac:dyDescent="0.3">
      <c r="A7" s="321"/>
      <c r="B7" s="184" t="s">
        <v>44</v>
      </c>
      <c r="C7" s="185" t="e">
        <f t="shared" si="0"/>
        <v>#REF!</v>
      </c>
      <c r="D7" s="186" t="e">
        <f>#REF!</f>
        <v>#REF!</v>
      </c>
      <c r="E7" s="186">
        <v>42</v>
      </c>
      <c r="F7" s="186">
        <v>36</v>
      </c>
      <c r="G7" s="186">
        <v>6.1</v>
      </c>
      <c r="H7" s="186">
        <v>5</v>
      </c>
      <c r="I7" s="186" t="e">
        <f>#REF!</f>
        <v>#REF!</v>
      </c>
      <c r="J7" s="182"/>
      <c r="K7" s="182"/>
      <c r="L7" s="182"/>
      <c r="M7" s="182"/>
      <c r="N7" s="321"/>
      <c r="O7" s="321"/>
      <c r="P7" s="175"/>
      <c r="Q7" s="175"/>
      <c r="R7" s="175"/>
      <c r="S7" s="187" t="s">
        <v>84</v>
      </c>
      <c r="T7" s="175"/>
      <c r="U7" s="175"/>
      <c r="V7" s="183" t="s">
        <v>85</v>
      </c>
      <c r="W7" s="175"/>
      <c r="X7" s="175"/>
      <c r="Y7" s="175"/>
      <c r="Z7" s="175"/>
      <c r="AA7" s="175"/>
    </row>
    <row r="8" spans="1:27" s="176" customFormat="1" ht="20.25" x14ac:dyDescent="0.3">
      <c r="A8" s="321"/>
      <c r="B8" s="184" t="s">
        <v>45</v>
      </c>
      <c r="C8" s="185" t="e">
        <f t="shared" si="0"/>
        <v>#REF!</v>
      </c>
      <c r="D8" s="186" t="e">
        <f>#REF!</f>
        <v>#REF!</v>
      </c>
      <c r="E8" s="186">
        <v>47</v>
      </c>
      <c r="F8" s="186">
        <v>40</v>
      </c>
      <c r="G8" s="186">
        <v>14.3</v>
      </c>
      <c r="H8" s="186">
        <v>5</v>
      </c>
      <c r="I8" s="186" t="e">
        <f>#REF!</f>
        <v>#REF!</v>
      </c>
      <c r="J8" s="182"/>
      <c r="K8" s="182"/>
      <c r="L8" s="182"/>
      <c r="M8" s="182"/>
      <c r="N8" s="321"/>
      <c r="O8" s="321"/>
      <c r="P8" s="175"/>
      <c r="Q8" s="175"/>
      <c r="R8" s="175"/>
      <c r="S8" s="175"/>
      <c r="T8" s="175"/>
      <c r="U8" s="175"/>
      <c r="V8" s="175"/>
      <c r="W8" s="175"/>
      <c r="X8" s="175"/>
      <c r="Y8" s="175"/>
      <c r="Z8" s="175"/>
      <c r="AA8" s="175"/>
    </row>
    <row r="9" spans="1:27" s="176" customFormat="1" ht="20.25" x14ac:dyDescent="0.3">
      <c r="A9" s="321"/>
      <c r="B9" s="184" t="s">
        <v>46</v>
      </c>
      <c r="C9" s="185" t="e">
        <f t="shared" si="0"/>
        <v>#REF!</v>
      </c>
      <c r="D9" s="186" t="e">
        <f>#REF!</f>
        <v>#REF!</v>
      </c>
      <c r="E9" s="186">
        <v>50</v>
      </c>
      <c r="F9" s="186">
        <v>41</v>
      </c>
      <c r="G9" s="186">
        <v>10.199999999999999</v>
      </c>
      <c r="H9" s="186">
        <v>5</v>
      </c>
      <c r="I9" s="186" t="e">
        <f>#REF!</f>
        <v>#REF!</v>
      </c>
      <c r="J9" s="182"/>
      <c r="K9" s="182"/>
      <c r="L9" s="182"/>
      <c r="M9" s="182"/>
      <c r="N9" s="321"/>
      <c r="O9" s="321"/>
      <c r="P9" s="175"/>
      <c r="Q9" s="175"/>
      <c r="R9" s="188" t="s">
        <v>86</v>
      </c>
      <c r="S9" s="175"/>
      <c r="T9" s="175"/>
      <c r="U9" s="175"/>
      <c r="V9" s="175"/>
      <c r="W9" s="175"/>
      <c r="X9" s="175"/>
      <c r="Y9" s="175"/>
      <c r="Z9" s="175"/>
      <c r="AA9" s="175"/>
    </row>
    <row r="10" spans="1:27" s="176" customFormat="1" ht="20.25" x14ac:dyDescent="0.3">
      <c r="A10" s="321"/>
      <c r="B10" s="184" t="s">
        <v>49</v>
      </c>
      <c r="C10" s="185" t="e">
        <f t="shared" si="0"/>
        <v>#REF!</v>
      </c>
      <c r="D10" s="186" t="e">
        <f>#REF!</f>
        <v>#REF!</v>
      </c>
      <c r="E10" s="186">
        <v>56</v>
      </c>
      <c r="F10" s="186">
        <v>46</v>
      </c>
      <c r="G10" s="186">
        <v>7</v>
      </c>
      <c r="H10" s="186">
        <v>5</v>
      </c>
      <c r="I10" s="186" t="e">
        <f>#REF!</f>
        <v>#REF!</v>
      </c>
      <c r="J10" s="182"/>
      <c r="K10" s="182"/>
      <c r="L10" s="182"/>
      <c r="M10" s="182"/>
      <c r="N10" s="321"/>
      <c r="O10" s="321"/>
      <c r="P10" s="175"/>
      <c r="Q10" s="175"/>
      <c r="R10" s="175"/>
      <c r="S10" s="175"/>
      <c r="T10" s="175"/>
      <c r="U10" s="175"/>
      <c r="V10" s="175"/>
      <c r="W10" s="175"/>
      <c r="X10" s="175"/>
      <c r="Y10" s="175"/>
      <c r="Z10" s="175"/>
      <c r="AA10" s="175"/>
    </row>
    <row r="11" spans="1:27" s="176" customFormat="1" ht="20.25" x14ac:dyDescent="0.3">
      <c r="A11" s="321"/>
      <c r="B11" s="184"/>
      <c r="C11" s="185" t="e">
        <f>SUM(C4:C10)</f>
        <v>#REF!</v>
      </c>
      <c r="D11" s="189" t="e">
        <f>ROUND((D4*I4+D5*I5+D6*I6+D7*I7+D8*I8+D9*I9+D10*I10)/I11,1)</f>
        <v>#REF!</v>
      </c>
      <c r="E11" s="189" t="e">
        <f>ROUND((E4*I4+E5*I5+E6*I6+E7*I7+E8*I8+E9*I9+E10*I10)/I11,1)</f>
        <v>#REF!</v>
      </c>
      <c r="F11" s="189" t="e">
        <f>ROUND((F4*I4+F5*I5+F6*I6+F7*I7+F8*I8+F9*I9+F10*I10)/I11,1)</f>
        <v>#REF!</v>
      </c>
      <c r="G11" s="189" t="e">
        <f>ROUND((G4*I4+G5*I5+G6*I6+G7*I7+G8*I8+G9*I9+G10*I10)/I11,1)</f>
        <v>#REF!</v>
      </c>
      <c r="H11" s="189">
        <f>AVERAGE(H4:H10)</f>
        <v>5</v>
      </c>
      <c r="I11" s="189" t="e">
        <f>SUM(I4:I10)</f>
        <v>#REF!</v>
      </c>
      <c r="J11" s="182"/>
      <c r="K11" s="182"/>
      <c r="L11" s="182"/>
      <c r="M11" s="182"/>
      <c r="N11" s="321"/>
      <c r="O11" s="321"/>
      <c r="P11" s="175"/>
      <c r="Q11" s="175"/>
      <c r="R11" s="175"/>
      <c r="S11" s="183" t="s">
        <v>87</v>
      </c>
      <c r="T11" s="187"/>
      <c r="U11" s="175"/>
      <c r="V11" s="175"/>
      <c r="W11" s="175"/>
      <c r="X11" s="175"/>
      <c r="Y11" s="175"/>
      <c r="Z11" s="175"/>
      <c r="AA11" s="175"/>
    </row>
    <row r="12" spans="1:27" s="194" customFormat="1" ht="20.25" x14ac:dyDescent="0.3">
      <c r="A12" s="182"/>
      <c r="B12" s="190"/>
      <c r="C12" s="191"/>
      <c r="D12" s="192"/>
      <c r="E12" s="192"/>
      <c r="F12" s="192"/>
      <c r="G12" s="192"/>
      <c r="H12" s="192"/>
      <c r="I12" s="192"/>
      <c r="J12" s="182"/>
      <c r="K12" s="182"/>
      <c r="L12" s="182"/>
      <c r="M12" s="182"/>
      <c r="N12" s="182"/>
      <c r="O12" s="182"/>
      <c r="P12" s="193"/>
      <c r="Q12" s="193"/>
      <c r="R12" s="193"/>
      <c r="S12" s="193"/>
      <c r="T12" s="193"/>
      <c r="U12" s="193"/>
      <c r="V12" s="193"/>
      <c r="W12" s="193"/>
      <c r="X12" s="193"/>
      <c r="Y12" s="193"/>
      <c r="Z12" s="193"/>
      <c r="AA12" s="193"/>
    </row>
    <row r="13" spans="1:27" s="199" customFormat="1" ht="15" x14ac:dyDescent="0.25">
      <c r="A13" s="195"/>
      <c r="B13" s="196" t="s">
        <v>88</v>
      </c>
      <c r="C13" s="196"/>
      <c r="D13" s="197"/>
      <c r="E13" s="180"/>
      <c r="F13" s="198"/>
      <c r="G13" s="198"/>
      <c r="H13" s="198"/>
      <c r="I13" s="198"/>
      <c r="J13" s="196"/>
      <c r="K13" s="196"/>
      <c r="L13" s="196"/>
      <c r="M13" s="196"/>
      <c r="N13" s="196"/>
      <c r="O13" s="196"/>
      <c r="P13" s="197"/>
      <c r="Q13" s="197"/>
      <c r="R13" s="197"/>
      <c r="S13" s="197"/>
      <c r="T13" s="197"/>
      <c r="U13" s="197"/>
      <c r="V13" s="197"/>
      <c r="W13" s="197"/>
      <c r="X13" s="197"/>
      <c r="Y13" s="197"/>
      <c r="Z13" s="197"/>
      <c r="AA13" s="197"/>
    </row>
    <row r="14" spans="1:27" s="194" customFormat="1" ht="8.4499999999999993" customHeight="1" x14ac:dyDescent="0.3">
      <c r="A14" s="200"/>
      <c r="B14" s="182"/>
      <c r="C14" s="182"/>
      <c r="D14" s="190"/>
      <c r="E14" s="191"/>
      <c r="F14" s="192"/>
      <c r="G14" s="192"/>
      <c r="H14" s="192"/>
      <c r="I14" s="192"/>
      <c r="J14" s="182"/>
      <c r="K14" s="182"/>
      <c r="L14" s="182"/>
      <c r="M14" s="182"/>
      <c r="N14" s="182"/>
      <c r="O14" s="182"/>
      <c r="P14" s="193"/>
      <c r="Q14" s="193"/>
      <c r="R14" s="193"/>
      <c r="S14" s="193"/>
      <c r="T14" s="193"/>
      <c r="U14" s="193"/>
      <c r="V14" s="193"/>
      <c r="W14" s="193"/>
      <c r="X14" s="193"/>
      <c r="Y14" s="193"/>
      <c r="Z14" s="193"/>
      <c r="AA14" s="193"/>
    </row>
    <row r="15" spans="1:27" s="205" customFormat="1" ht="15.75" x14ac:dyDescent="0.25">
      <c r="A15" s="200" t="s">
        <v>217</v>
      </c>
      <c r="B15" s="187"/>
      <c r="C15" s="201"/>
      <c r="D15" s="202"/>
      <c r="E15" s="203"/>
      <c r="F15" s="204"/>
      <c r="G15" s="204"/>
      <c r="H15" s="204"/>
      <c r="I15" s="204"/>
      <c r="J15" s="201"/>
      <c r="K15" s="201"/>
      <c r="L15" s="201"/>
      <c r="M15" s="201"/>
      <c r="N15" s="201"/>
      <c r="O15" s="201"/>
      <c r="P15" s="202"/>
      <c r="Q15" s="202"/>
      <c r="R15" s="202"/>
      <c r="S15" s="202"/>
      <c r="T15" s="202"/>
      <c r="U15" s="202"/>
      <c r="V15" s="202"/>
      <c r="W15" s="202"/>
      <c r="X15" s="202"/>
      <c r="Y15" s="202"/>
      <c r="Z15" s="202"/>
      <c r="AA15" s="202"/>
    </row>
    <row r="16" spans="1:27" s="205" customFormat="1" ht="9.75" customHeight="1" x14ac:dyDescent="0.25">
      <c r="A16" s="201"/>
      <c r="B16" s="187"/>
      <c r="C16" s="201"/>
      <c r="D16" s="202"/>
      <c r="E16" s="203"/>
      <c r="F16" s="204"/>
      <c r="G16" s="204"/>
      <c r="H16" s="204"/>
      <c r="I16" s="204"/>
      <c r="J16" s="201"/>
      <c r="K16" s="201"/>
      <c r="L16" s="201"/>
      <c r="M16" s="201"/>
      <c r="N16" s="201"/>
      <c r="O16" s="201"/>
      <c r="P16" s="202"/>
      <c r="Q16" s="202"/>
      <c r="R16" s="202"/>
      <c r="S16" s="521" t="s">
        <v>89</v>
      </c>
      <c r="T16" s="522" t="s">
        <v>90</v>
      </c>
      <c r="U16" s="523" t="s">
        <v>91</v>
      </c>
      <c r="V16" s="202"/>
      <c r="W16" s="202"/>
      <c r="X16" s="202"/>
      <c r="Y16" s="202"/>
      <c r="Z16" s="202"/>
      <c r="AA16" s="202"/>
    </row>
    <row r="17" spans="1:27" s="194" customFormat="1" ht="15.75" customHeight="1" x14ac:dyDescent="0.3">
      <c r="A17" s="182"/>
      <c r="B17" s="324"/>
      <c r="C17" s="324"/>
      <c r="D17" s="207"/>
      <c r="E17" s="191"/>
      <c r="F17" s="208"/>
      <c r="G17" s="209"/>
      <c r="H17" s="210"/>
      <c r="I17" s="211"/>
      <c r="J17" s="182"/>
      <c r="K17" s="182"/>
      <c r="L17" s="182"/>
      <c r="M17" s="182"/>
      <c r="N17" s="182"/>
      <c r="O17" s="182"/>
      <c r="P17" s="193"/>
      <c r="Q17" s="190"/>
      <c r="R17" s="212"/>
      <c r="S17" s="521"/>
      <c r="T17" s="521"/>
      <c r="U17" s="524"/>
      <c r="V17" s="213"/>
      <c r="W17" s="191"/>
      <c r="X17" s="214"/>
      <c r="Y17" s="193"/>
      <c r="Z17" s="193"/>
      <c r="AA17" s="193"/>
    </row>
    <row r="18" spans="1:27" s="194" customFormat="1" ht="20.25" x14ac:dyDescent="0.3">
      <c r="A18" s="200" t="s">
        <v>92</v>
      </c>
      <c r="B18" s="324"/>
      <c r="C18" s="324"/>
      <c r="D18" s="207"/>
      <c r="E18" s="191"/>
      <c r="F18" s="208"/>
      <c r="G18" s="209"/>
      <c r="H18" s="210"/>
      <c r="I18" s="211"/>
      <c r="J18" s="182"/>
      <c r="K18" s="182"/>
      <c r="L18" s="182"/>
      <c r="M18" s="182"/>
      <c r="N18" s="182"/>
      <c r="O18" s="182"/>
      <c r="P18" s="193"/>
      <c r="Q18" s="190"/>
      <c r="R18" s="212"/>
      <c r="S18" s="185">
        <v>10</v>
      </c>
      <c r="T18" s="215">
        <v>16</v>
      </c>
      <c r="U18" s="216">
        <v>7.85E-2</v>
      </c>
      <c r="V18" s="213"/>
      <c r="W18" s="191"/>
      <c r="X18" s="214"/>
      <c r="Y18" s="193"/>
      <c r="Z18" s="193"/>
      <c r="AA18" s="193"/>
    </row>
    <row r="19" spans="1:27" s="194" customFormat="1" ht="15.75" customHeight="1" x14ac:dyDescent="0.3">
      <c r="A19" s="200"/>
      <c r="B19" s="324"/>
      <c r="C19" s="324"/>
      <c r="D19" s="207"/>
      <c r="E19" s="191"/>
      <c r="F19" s="208"/>
      <c r="G19" s="209"/>
      <c r="H19" s="210"/>
      <c r="I19" s="211"/>
      <c r="J19" s="182"/>
      <c r="K19" s="182"/>
      <c r="L19" s="182"/>
      <c r="M19" s="182"/>
      <c r="N19" s="182"/>
      <c r="O19" s="182"/>
      <c r="P19" s="193"/>
      <c r="Q19" s="190"/>
      <c r="R19" s="212"/>
      <c r="S19" s="185">
        <v>15</v>
      </c>
      <c r="T19" s="215">
        <v>20</v>
      </c>
      <c r="U19" s="216">
        <v>0.1767</v>
      </c>
      <c r="V19" s="213"/>
      <c r="W19" s="191"/>
      <c r="X19" s="214"/>
      <c r="Y19" s="193"/>
      <c r="Z19" s="193"/>
      <c r="AA19" s="193"/>
    </row>
    <row r="20" spans="1:27" s="199" customFormat="1" ht="15.75" x14ac:dyDescent="0.25">
      <c r="A20" s="195"/>
      <c r="B20" s="325" t="s">
        <v>93</v>
      </c>
      <c r="C20" s="322"/>
      <c r="D20" s="180" t="s">
        <v>83</v>
      </c>
      <c r="E20" s="180"/>
      <c r="F20" s="323"/>
      <c r="G20" s="220"/>
      <c r="H20" s="195"/>
      <c r="I20" s="221"/>
      <c r="J20" s="196"/>
      <c r="K20" s="196"/>
      <c r="L20" s="196"/>
      <c r="M20" s="196"/>
      <c r="N20" s="196"/>
      <c r="O20" s="196"/>
      <c r="P20" s="197"/>
      <c r="Q20" s="190"/>
      <c r="R20" s="210"/>
      <c r="S20" s="327">
        <v>20</v>
      </c>
      <c r="T20" s="223">
        <v>26</v>
      </c>
      <c r="U20" s="216">
        <v>0.31419999999999998</v>
      </c>
      <c r="V20" s="210"/>
      <c r="W20" s="210"/>
      <c r="X20" s="214"/>
      <c r="Y20" s="197"/>
      <c r="Z20" s="197"/>
      <c r="AA20" s="197"/>
    </row>
    <row r="21" spans="1:27" s="199" customFormat="1" ht="15.75" x14ac:dyDescent="0.25">
      <c r="A21" s="195"/>
      <c r="B21" s="325"/>
      <c r="C21" s="322"/>
      <c r="D21" s="180"/>
      <c r="E21" s="180"/>
      <c r="F21" s="323"/>
      <c r="G21" s="220"/>
      <c r="H21" s="195"/>
      <c r="I21" s="221"/>
      <c r="J21" s="196"/>
      <c r="K21" s="196"/>
      <c r="L21" s="196"/>
      <c r="M21" s="196"/>
      <c r="N21" s="196"/>
      <c r="O21" s="196"/>
      <c r="P21" s="197"/>
      <c r="Q21" s="190"/>
      <c r="R21" s="210"/>
      <c r="S21" s="327">
        <v>25</v>
      </c>
      <c r="T21" s="223">
        <v>32</v>
      </c>
      <c r="U21" s="216">
        <v>0.4909</v>
      </c>
      <c r="V21" s="210"/>
      <c r="W21" s="210"/>
      <c r="X21" s="214"/>
      <c r="Y21" s="197"/>
      <c r="Z21" s="197"/>
      <c r="AA21" s="197"/>
    </row>
    <row r="22" spans="1:27" s="199" customFormat="1" ht="15.75" x14ac:dyDescent="0.25">
      <c r="A22" s="195"/>
      <c r="B22" s="325" t="s">
        <v>94</v>
      </c>
      <c r="C22" s="224" t="s">
        <v>95</v>
      </c>
      <c r="D22" s="180"/>
      <c r="E22" s="180"/>
      <c r="F22" s="323"/>
      <c r="G22" s="220"/>
      <c r="H22" s="195"/>
      <c r="I22" s="221"/>
      <c r="J22" s="196"/>
      <c r="K22" s="196"/>
      <c r="L22" s="196"/>
      <c r="M22" s="196"/>
      <c r="N22" s="196"/>
      <c r="O22" s="196"/>
      <c r="P22" s="197"/>
      <c r="Q22" s="190"/>
      <c r="R22" s="210"/>
      <c r="S22" s="327">
        <v>32</v>
      </c>
      <c r="T22" s="223">
        <v>42</v>
      </c>
      <c r="U22" s="216">
        <v>0.80420000000000003</v>
      </c>
      <c r="V22" s="210"/>
      <c r="W22" s="210"/>
      <c r="X22" s="214"/>
      <c r="Y22" s="197"/>
      <c r="Z22" s="197"/>
      <c r="AA22" s="197"/>
    </row>
    <row r="23" spans="1:27" s="194" customFormat="1" ht="17.45" customHeight="1" x14ac:dyDescent="0.3">
      <c r="A23" s="200"/>
      <c r="B23" s="211"/>
      <c r="C23" s="324"/>
      <c r="D23" s="225"/>
      <c r="E23" s="191"/>
      <c r="F23" s="208"/>
      <c r="G23" s="209"/>
      <c r="H23" s="210"/>
      <c r="I23" s="211"/>
      <c r="J23" s="182"/>
      <c r="K23" s="182"/>
      <c r="L23" s="182"/>
      <c r="M23" s="182"/>
      <c r="N23" s="182"/>
      <c r="O23" s="182"/>
      <c r="P23" s="193"/>
      <c r="Q23" s="193"/>
      <c r="R23" s="193"/>
      <c r="S23" s="184">
        <v>41</v>
      </c>
      <c r="T23" s="184">
        <v>46</v>
      </c>
      <c r="U23" s="216">
        <v>1.32</v>
      </c>
      <c r="V23" s="193"/>
      <c r="W23" s="193"/>
      <c r="X23" s="193"/>
      <c r="Y23" s="193"/>
      <c r="Z23" s="193"/>
      <c r="AA23" s="193"/>
    </row>
    <row r="24" spans="1:27" s="194" customFormat="1" ht="16.5" customHeight="1" x14ac:dyDescent="0.3">
      <c r="A24" s="183" t="s">
        <v>96</v>
      </c>
      <c r="B24" s="211"/>
      <c r="C24" s="324"/>
      <c r="D24" s="225"/>
      <c r="E24" s="191"/>
      <c r="F24" s="208"/>
      <c r="G24" s="209"/>
      <c r="H24" s="210"/>
      <c r="I24" s="211"/>
      <c r="J24" s="211"/>
      <c r="K24" s="211"/>
      <c r="L24" s="182"/>
      <c r="M24" s="182"/>
      <c r="N24" s="182"/>
      <c r="O24" s="182"/>
      <c r="P24" s="182"/>
      <c r="Q24" s="182"/>
      <c r="R24" s="193"/>
      <c r="S24" s="184">
        <v>50</v>
      </c>
      <c r="T24" s="184">
        <v>57</v>
      </c>
      <c r="U24" s="216">
        <v>1.9630000000000001</v>
      </c>
      <c r="V24" s="193"/>
      <c r="W24" s="193"/>
      <c r="X24" s="193"/>
      <c r="Y24" s="193"/>
      <c r="Z24" s="193"/>
      <c r="AA24" s="193"/>
    </row>
    <row r="25" spans="1:27" s="194" customFormat="1" ht="17.45" customHeight="1" x14ac:dyDescent="0.3">
      <c r="A25" s="200"/>
      <c r="B25" s="211"/>
      <c r="C25" s="324"/>
      <c r="D25" s="225"/>
      <c r="E25" s="191"/>
      <c r="F25" s="208"/>
      <c r="G25" s="209"/>
      <c r="H25" s="210"/>
      <c r="I25" s="211"/>
      <c r="J25" s="211"/>
      <c r="K25" s="211"/>
      <c r="L25" s="182"/>
      <c r="M25" s="182"/>
      <c r="N25" s="182"/>
      <c r="O25" s="182"/>
      <c r="P25" s="182"/>
      <c r="Q25" s="182"/>
      <c r="R25" s="193"/>
      <c r="S25" s="184">
        <v>69</v>
      </c>
      <c r="T25" s="184">
        <v>76</v>
      </c>
      <c r="U25" s="216">
        <v>3.7389999999999999</v>
      </c>
      <c r="V25" s="193"/>
      <c r="W25" s="193"/>
      <c r="X25" s="193"/>
      <c r="Y25" s="193"/>
      <c r="Z25" s="193"/>
      <c r="AA25" s="193"/>
    </row>
    <row r="26" spans="1:27" s="205" customFormat="1" ht="15.75" x14ac:dyDescent="0.25">
      <c r="A26" s="200"/>
      <c r="B26" s="525" t="s">
        <v>97</v>
      </c>
      <c r="C26" s="526"/>
      <c r="D26" s="226" t="s">
        <v>98</v>
      </c>
      <c r="E26" s="203"/>
      <c r="F26" s="326"/>
      <c r="G26" s="527" t="s">
        <v>83</v>
      </c>
      <c r="H26" s="200"/>
      <c r="I26" s="325"/>
      <c r="J26" s="325"/>
      <c r="K26" s="325"/>
      <c r="L26" s="201"/>
      <c r="M26" s="201"/>
      <c r="N26" s="201"/>
      <c r="O26" s="201"/>
      <c r="P26" s="201"/>
      <c r="Q26" s="201"/>
      <c r="R26" s="202"/>
      <c r="S26" s="184">
        <v>81</v>
      </c>
      <c r="T26" s="184">
        <v>89</v>
      </c>
      <c r="U26" s="216">
        <v>5.1529999999999996</v>
      </c>
      <c r="V26" s="202"/>
      <c r="W26" s="202"/>
      <c r="X26" s="202"/>
      <c r="Y26" s="202"/>
      <c r="Z26" s="202"/>
      <c r="AA26" s="202"/>
    </row>
    <row r="27" spans="1:27" s="205" customFormat="1" ht="15.75" x14ac:dyDescent="0.25">
      <c r="A27" s="201"/>
      <c r="B27" s="526"/>
      <c r="C27" s="526"/>
      <c r="D27" s="202" t="s">
        <v>99</v>
      </c>
      <c r="E27" s="203"/>
      <c r="F27" s="326"/>
      <c r="G27" s="527"/>
      <c r="H27" s="200"/>
      <c r="I27" s="325"/>
      <c r="J27" s="325"/>
      <c r="K27" s="325"/>
      <c r="L27" s="201"/>
      <c r="M27" s="201"/>
      <c r="N27" s="201"/>
      <c r="O27" s="201"/>
      <c r="P27" s="201"/>
      <c r="Q27" s="201"/>
      <c r="R27" s="202"/>
      <c r="S27" s="184">
        <v>90</v>
      </c>
      <c r="T27" s="184">
        <v>102</v>
      </c>
      <c r="U27" s="216">
        <v>6.3616999999999999</v>
      </c>
      <c r="V27" s="202"/>
      <c r="W27" s="202"/>
      <c r="X27" s="202"/>
      <c r="Y27" s="202"/>
      <c r="Z27" s="202"/>
      <c r="AA27" s="202"/>
    </row>
    <row r="28" spans="1:27" s="194" customFormat="1" ht="17.45" customHeight="1" x14ac:dyDescent="0.3">
      <c r="A28" s="182"/>
      <c r="B28" s="324"/>
      <c r="C28" s="324"/>
      <c r="D28" s="207"/>
      <c r="E28" s="191"/>
      <c r="F28" s="208"/>
      <c r="G28" s="208"/>
      <c r="H28" s="210"/>
      <c r="I28" s="211"/>
      <c r="J28" s="211"/>
      <c r="K28" s="211"/>
      <c r="L28" s="182"/>
      <c r="M28" s="182"/>
      <c r="N28" s="182"/>
      <c r="O28" s="182"/>
      <c r="P28" s="182"/>
      <c r="Q28" s="182"/>
      <c r="R28" s="193"/>
      <c r="S28" s="184">
        <v>100</v>
      </c>
      <c r="T28" s="184">
        <v>108</v>
      </c>
      <c r="U28" s="216">
        <v>7.8540000000000001</v>
      </c>
      <c r="V28" s="193"/>
      <c r="W28" s="193"/>
      <c r="X28" s="193"/>
      <c r="Y28" s="193"/>
      <c r="Z28" s="193"/>
      <c r="AA28" s="193"/>
    </row>
    <row r="29" spans="1:27" s="194" customFormat="1" ht="16.5" customHeight="1" thickBot="1" x14ac:dyDescent="0.35">
      <c r="A29" s="182"/>
      <c r="B29" s="228" t="s">
        <v>100</v>
      </c>
      <c r="C29" s="324"/>
      <c r="D29" s="207"/>
      <c r="E29" s="191"/>
      <c r="F29" s="208"/>
      <c r="G29" s="208"/>
      <c r="H29" s="210"/>
      <c r="I29" s="211"/>
      <c r="J29" s="211"/>
      <c r="K29" s="211"/>
      <c r="L29" s="182"/>
      <c r="M29" s="182"/>
      <c r="N29" s="182"/>
      <c r="O29" s="182"/>
      <c r="P29" s="182"/>
      <c r="Q29" s="182"/>
      <c r="R29" s="193"/>
      <c r="S29" s="184">
        <v>125</v>
      </c>
      <c r="T29" s="184">
        <v>133</v>
      </c>
      <c r="U29" s="216">
        <v>12.21</v>
      </c>
      <c r="V29" s="193"/>
      <c r="W29" s="193"/>
      <c r="X29" s="193"/>
      <c r="Y29" s="193"/>
      <c r="Z29" s="193"/>
      <c r="AA29" s="193"/>
    </row>
    <row r="30" spans="1:27" s="199" customFormat="1" ht="15.75" thickTop="1" x14ac:dyDescent="0.25">
      <c r="A30" s="195" t="s">
        <v>101</v>
      </c>
      <c r="B30" s="196"/>
      <c r="C30" s="196"/>
      <c r="D30" s="197"/>
      <c r="E30" s="180"/>
      <c r="F30" s="198"/>
      <c r="G30" s="198"/>
      <c r="H30" s="198"/>
      <c r="I30" s="198"/>
      <c r="J30" s="196"/>
      <c r="K30" s="196"/>
      <c r="L30" s="196"/>
      <c r="M30" s="196"/>
      <c r="N30" s="196"/>
      <c r="O30" s="196"/>
      <c r="P30" s="197"/>
      <c r="Q30" s="197"/>
      <c r="R30" s="197"/>
      <c r="S30" s="184">
        <v>150</v>
      </c>
      <c r="T30" s="184">
        <v>159</v>
      </c>
      <c r="U30" s="216">
        <v>17.670000000000002</v>
      </c>
      <c r="V30" s="197"/>
      <c r="W30" s="197"/>
      <c r="X30" s="197"/>
      <c r="Y30" s="197"/>
      <c r="Z30" s="197"/>
      <c r="AA30" s="197"/>
    </row>
    <row r="31" spans="1:27" s="194" customFormat="1" ht="15.75" customHeight="1" x14ac:dyDescent="0.3">
      <c r="A31" s="200"/>
      <c r="B31" s="182"/>
      <c r="C31" s="182"/>
      <c r="D31" s="190"/>
      <c r="E31" s="191"/>
      <c r="F31" s="192"/>
      <c r="G31" s="192"/>
      <c r="H31" s="192"/>
      <c r="I31" s="192"/>
      <c r="J31" s="182"/>
      <c r="K31" s="182"/>
      <c r="L31" s="182"/>
      <c r="M31" s="182"/>
      <c r="N31" s="182"/>
      <c r="O31" s="182"/>
      <c r="P31" s="193"/>
      <c r="Q31" s="193"/>
      <c r="R31" s="193"/>
      <c r="S31" s="184">
        <v>203</v>
      </c>
      <c r="T31" s="184">
        <v>219</v>
      </c>
      <c r="U31" s="216">
        <v>32.36</v>
      </c>
      <c r="V31" s="193"/>
      <c r="W31" s="193"/>
      <c r="X31" s="193"/>
      <c r="Y31" s="193"/>
      <c r="Z31" s="193"/>
      <c r="AA31" s="193"/>
    </row>
    <row r="32" spans="1:27" s="205" customFormat="1" ht="15.75" x14ac:dyDescent="0.25">
      <c r="A32" s="201"/>
      <c r="B32" s="187" t="s">
        <v>102</v>
      </c>
      <c r="C32" s="201"/>
      <c r="D32" s="202"/>
      <c r="E32" s="203"/>
      <c r="F32" s="204"/>
      <c r="G32" s="204"/>
      <c r="H32" s="204"/>
      <c r="I32" s="204"/>
      <c r="J32" s="201"/>
      <c r="K32" s="201"/>
      <c r="L32" s="201"/>
      <c r="M32" s="201"/>
      <c r="N32" s="201"/>
      <c r="O32" s="201"/>
      <c r="P32" s="202"/>
      <c r="Q32" s="202"/>
      <c r="R32" s="202"/>
      <c r="S32" s="184">
        <v>255</v>
      </c>
      <c r="T32" s="184">
        <v>273</v>
      </c>
      <c r="U32" s="216">
        <v>51.07</v>
      </c>
      <c r="V32" s="202"/>
      <c r="W32" s="202"/>
      <c r="X32" s="202"/>
      <c r="Y32" s="202"/>
      <c r="Z32" s="202"/>
      <c r="AA32" s="202"/>
    </row>
    <row r="33" spans="1:27" s="205" customFormat="1" ht="15" customHeight="1" x14ac:dyDescent="0.25">
      <c r="A33" s="201"/>
      <c r="B33" s="187"/>
      <c r="C33" s="201"/>
      <c r="D33" s="202"/>
      <c r="E33" s="203"/>
      <c r="F33" s="204"/>
      <c r="G33" s="204"/>
      <c r="H33" s="204"/>
      <c r="I33" s="204"/>
      <c r="J33" s="201"/>
      <c r="K33" s="201"/>
      <c r="L33" s="201"/>
      <c r="M33" s="201"/>
      <c r="N33" s="201"/>
      <c r="O33" s="201"/>
      <c r="P33" s="202"/>
      <c r="Q33" s="202"/>
      <c r="R33" s="202"/>
      <c r="S33" s="184">
        <v>305</v>
      </c>
      <c r="T33" s="184">
        <v>325</v>
      </c>
      <c r="U33" s="216">
        <v>73.06</v>
      </c>
      <c r="V33" s="202"/>
      <c r="W33" s="202"/>
      <c r="X33" s="202"/>
      <c r="Y33" s="202"/>
      <c r="Z33" s="202"/>
      <c r="AA33" s="202"/>
    </row>
    <row r="34" spans="1:27" s="205" customFormat="1" ht="15.75" x14ac:dyDescent="0.25">
      <c r="A34" s="201"/>
      <c r="B34" s="201" t="s">
        <v>205</v>
      </c>
      <c r="C34" s="201"/>
      <c r="D34" s="202"/>
      <c r="E34" s="203"/>
      <c r="F34" s="204"/>
      <c r="G34" s="229" t="e">
        <f>(E11+F11)/2-G11</f>
        <v>#REF!</v>
      </c>
      <c r="H34" s="187" t="s">
        <v>103</v>
      </c>
      <c r="I34" s="204"/>
      <c r="J34" s="201"/>
      <c r="K34" s="201"/>
      <c r="L34" s="201"/>
      <c r="M34" s="201"/>
      <c r="N34" s="201"/>
      <c r="O34" s="201"/>
      <c r="P34" s="202"/>
      <c r="Q34" s="202"/>
      <c r="R34" s="202"/>
      <c r="S34" s="202"/>
      <c r="T34" s="202"/>
      <c r="U34" s="202"/>
      <c r="V34" s="202"/>
      <c r="W34" s="202"/>
      <c r="X34" s="202"/>
      <c r="Y34" s="202"/>
      <c r="Z34" s="202"/>
      <c r="AA34" s="202"/>
    </row>
    <row r="35" spans="1:27" s="194" customFormat="1" ht="9" customHeight="1" x14ac:dyDescent="0.3">
      <c r="A35" s="182"/>
      <c r="B35" s="175"/>
      <c r="C35" s="175"/>
      <c r="D35" s="190"/>
      <c r="E35" s="191"/>
      <c r="F35" s="192"/>
      <c r="G35" s="192"/>
      <c r="H35" s="192"/>
      <c r="I35" s="192"/>
      <c r="J35" s="182"/>
      <c r="K35" s="182"/>
      <c r="L35" s="182"/>
      <c r="M35" s="182"/>
      <c r="N35" s="182"/>
      <c r="O35" s="182"/>
      <c r="P35" s="193"/>
      <c r="Q35" s="193"/>
      <c r="R35" s="193"/>
      <c r="S35" s="193"/>
      <c r="T35" s="193"/>
      <c r="U35" s="193"/>
      <c r="V35" s="193"/>
      <c r="W35" s="193"/>
      <c r="X35" s="193"/>
      <c r="Y35" s="193"/>
      <c r="Z35" s="193"/>
      <c r="AA35" s="193"/>
    </row>
    <row r="36" spans="1:27" s="194" customFormat="1" ht="20.25" x14ac:dyDescent="0.3">
      <c r="A36" s="200" t="s">
        <v>218</v>
      </c>
      <c r="B36" s="182"/>
      <c r="C36" s="182"/>
      <c r="D36" s="190"/>
      <c r="E36" s="191"/>
      <c r="F36" s="191"/>
      <c r="G36" s="191"/>
      <c r="H36" s="191"/>
      <c r="I36" s="191"/>
      <c r="J36" s="191"/>
      <c r="K36" s="230"/>
      <c r="L36" s="182"/>
      <c r="M36" s="182"/>
      <c r="N36" s="182"/>
      <c r="O36" s="182"/>
      <c r="P36" s="182"/>
      <c r="Q36" s="182"/>
      <c r="R36" s="193"/>
      <c r="S36" s="193"/>
      <c r="T36" s="193"/>
      <c r="U36" s="193"/>
      <c r="V36" s="193"/>
      <c r="W36" s="193"/>
      <c r="X36" s="193"/>
      <c r="Y36" s="193"/>
      <c r="Z36" s="193"/>
      <c r="AA36" s="193"/>
    </row>
    <row r="37" spans="1:27" s="194" customFormat="1" ht="20.25" x14ac:dyDescent="0.3">
      <c r="A37" s="200" t="s">
        <v>104</v>
      </c>
      <c r="B37" s="182"/>
      <c r="C37" s="182"/>
      <c r="D37" s="190"/>
      <c r="E37" s="191"/>
      <c r="F37" s="191"/>
      <c r="G37" s="191"/>
      <c r="H37" s="191"/>
      <c r="I37" s="191"/>
      <c r="J37" s="191"/>
      <c r="K37" s="230"/>
      <c r="L37" s="182"/>
      <c r="M37" s="182"/>
      <c r="N37" s="182"/>
      <c r="O37" s="182"/>
      <c r="P37" s="182"/>
      <c r="Q37" s="182"/>
      <c r="R37" s="193"/>
      <c r="S37" s="193"/>
      <c r="T37" s="193"/>
      <c r="U37" s="193"/>
      <c r="V37" s="193"/>
      <c r="W37" s="193"/>
      <c r="X37" s="193"/>
      <c r="Y37" s="193"/>
      <c r="Z37" s="193"/>
      <c r="AA37" s="193"/>
    </row>
    <row r="38" spans="1:27" s="194" customFormat="1" ht="20.25" x14ac:dyDescent="0.3">
      <c r="A38" s="200" t="s">
        <v>105</v>
      </c>
      <c r="B38" s="182"/>
      <c r="C38" s="182"/>
      <c r="D38" s="190"/>
      <c r="E38" s="191"/>
      <c r="F38" s="191"/>
      <c r="G38" s="191"/>
      <c r="H38" s="231"/>
      <c r="I38" s="225"/>
      <c r="J38" s="225"/>
      <c r="K38" s="230"/>
      <c r="L38" s="182"/>
      <c r="M38" s="182"/>
      <c r="N38" s="182"/>
      <c r="O38" s="231" t="e">
        <f>G34</f>
        <v>#REF!</v>
      </c>
      <c r="P38" s="225" t="s">
        <v>103</v>
      </c>
      <c r="Q38" s="182"/>
      <c r="R38" s="193"/>
      <c r="S38" s="193"/>
      <c r="T38" s="193"/>
      <c r="U38" s="193"/>
      <c r="V38" s="193"/>
      <c r="W38" s="193"/>
      <c r="X38" s="193"/>
      <c r="Y38" s="193"/>
      <c r="Z38" s="193"/>
      <c r="AA38" s="193"/>
    </row>
    <row r="39" spans="1:27" s="194" customFormat="1" ht="14.25" customHeight="1" x14ac:dyDescent="0.3">
      <c r="A39" s="200"/>
      <c r="B39" s="182"/>
      <c r="C39" s="182"/>
      <c r="D39" s="190"/>
      <c r="E39" s="191"/>
      <c r="F39" s="191"/>
      <c r="G39" s="191"/>
      <c r="H39" s="231"/>
      <c r="I39" s="225"/>
      <c r="J39" s="230"/>
      <c r="K39" s="182"/>
      <c r="L39" s="182"/>
      <c r="M39" s="182"/>
      <c r="N39" s="231"/>
      <c r="O39" s="225"/>
      <c r="P39" s="182"/>
      <c r="Q39" s="193"/>
      <c r="R39" s="193"/>
      <c r="S39" s="190" t="s">
        <v>106</v>
      </c>
      <c r="T39" s="193"/>
      <c r="U39" s="193"/>
      <c r="V39" s="193"/>
      <c r="W39" s="193"/>
      <c r="X39" s="193"/>
      <c r="Y39" s="193"/>
      <c r="Z39" s="193"/>
      <c r="AA39" s="193"/>
    </row>
    <row r="40" spans="1:27" s="199" customFormat="1" ht="15" x14ac:dyDescent="0.25">
      <c r="A40" s="195"/>
      <c r="B40" s="531" t="s">
        <v>177</v>
      </c>
      <c r="C40" s="532"/>
      <c r="D40" s="232" t="s">
        <v>107</v>
      </c>
      <c r="E40" s="180"/>
      <c r="F40" s="533" t="s">
        <v>108</v>
      </c>
      <c r="G40" s="232" t="s">
        <v>109</v>
      </c>
      <c r="H40" s="196" t="s">
        <v>110</v>
      </c>
      <c r="I40" s="534" t="s">
        <v>111</v>
      </c>
      <c r="J40" s="535"/>
      <c r="K40" s="196"/>
      <c r="L40" s="195" t="s">
        <v>112</v>
      </c>
      <c r="M40" s="196"/>
      <c r="N40" s="196"/>
      <c r="O40" s="196"/>
      <c r="P40" s="196"/>
      <c r="Q40" s="197"/>
      <c r="R40" s="190"/>
      <c r="S40" s="212" t="s">
        <v>113</v>
      </c>
      <c r="T40" s="191"/>
      <c r="U40" s="212"/>
      <c r="V40" s="233"/>
      <c r="W40" s="215"/>
      <c r="X40" s="184">
        <v>52.5</v>
      </c>
      <c r="Y40" s="234">
        <v>65</v>
      </c>
      <c r="Z40" s="197"/>
      <c r="AA40" s="197"/>
    </row>
    <row r="41" spans="1:27" s="199" customFormat="1" ht="15" x14ac:dyDescent="0.25">
      <c r="A41" s="196"/>
      <c r="B41" s="532"/>
      <c r="C41" s="532"/>
      <c r="D41" s="197" t="s">
        <v>114</v>
      </c>
      <c r="E41" s="180"/>
      <c r="F41" s="533"/>
      <c r="G41" s="220">
        <v>2</v>
      </c>
      <c r="H41" s="195"/>
      <c r="I41" s="535"/>
      <c r="J41" s="535"/>
      <c r="K41" s="196"/>
      <c r="L41" s="196"/>
      <c r="M41" s="196"/>
      <c r="N41" s="196"/>
      <c r="O41" s="196"/>
      <c r="P41" s="196"/>
      <c r="Q41" s="197"/>
      <c r="R41" s="190"/>
      <c r="S41" s="212"/>
      <c r="T41" s="191"/>
      <c r="U41" s="212"/>
      <c r="V41" s="233"/>
      <c r="W41" s="235">
        <v>32</v>
      </c>
      <c r="X41" s="185">
        <v>45</v>
      </c>
      <c r="Y41" s="327">
        <v>52</v>
      </c>
      <c r="Z41" s="197"/>
      <c r="AA41" s="197"/>
    </row>
    <row r="42" spans="1:27" s="194" customFormat="1" ht="12.2" customHeight="1" x14ac:dyDescent="0.3">
      <c r="A42" s="182"/>
      <c r="B42" s="324"/>
      <c r="C42" s="324"/>
      <c r="D42" s="207"/>
      <c r="E42" s="191"/>
      <c r="F42" s="208"/>
      <c r="G42" s="209"/>
      <c r="H42" s="210"/>
      <c r="I42" s="211"/>
      <c r="J42" s="182"/>
      <c r="K42" s="182"/>
      <c r="L42" s="182"/>
      <c r="M42" s="182"/>
      <c r="N42" s="182"/>
      <c r="O42" s="182"/>
      <c r="P42" s="193"/>
      <c r="Q42" s="190"/>
      <c r="R42" s="212"/>
      <c r="S42" s="191"/>
      <c r="T42" s="212"/>
      <c r="U42" s="233"/>
      <c r="V42" s="213"/>
      <c r="W42" s="184">
        <v>57</v>
      </c>
      <c r="X42" s="327">
        <v>56</v>
      </c>
      <c r="Y42" s="185">
        <v>65</v>
      </c>
      <c r="Z42" s="193"/>
      <c r="AA42" s="193"/>
    </row>
    <row r="43" spans="1:27" s="194" customFormat="1" ht="20.25" x14ac:dyDescent="0.3">
      <c r="A43" s="200" t="s">
        <v>92</v>
      </c>
      <c r="B43" s="324"/>
      <c r="C43" s="324"/>
      <c r="D43" s="207"/>
      <c r="E43" s="191"/>
      <c r="F43" s="208"/>
      <c r="G43" s="209"/>
      <c r="H43" s="210"/>
      <c r="I43" s="211"/>
      <c r="J43" s="182"/>
      <c r="K43" s="182"/>
      <c r="L43" s="182"/>
      <c r="M43" s="182"/>
      <c r="N43" s="182"/>
      <c r="O43" s="182"/>
      <c r="P43" s="193"/>
      <c r="Q43" s="190"/>
      <c r="R43" s="212"/>
      <c r="S43" s="191" t="s">
        <v>115</v>
      </c>
      <c r="T43" s="212">
        <f>(X42-X41)/(W42-W41)*(46-32)+X41</f>
        <v>51.16</v>
      </c>
      <c r="U43" s="212">
        <f>(Y42-Y41)/(W42-W41)*(46-32)+Y41</f>
        <v>59.28</v>
      </c>
      <c r="V43" s="213"/>
      <c r="W43" s="191"/>
      <c r="X43" s="214"/>
      <c r="Y43" s="193"/>
      <c r="Z43" s="193"/>
      <c r="AA43" s="193"/>
    </row>
    <row r="44" spans="1:27" s="194" customFormat="1" ht="12.2" customHeight="1" x14ac:dyDescent="0.3">
      <c r="A44" s="200"/>
      <c r="B44" s="324"/>
      <c r="C44" s="324"/>
      <c r="D44" s="207"/>
      <c r="E44" s="191"/>
      <c r="F44" s="208"/>
      <c r="G44" s="209"/>
      <c r="H44" s="210"/>
      <c r="I44" s="211"/>
      <c r="J44" s="182"/>
      <c r="K44" s="182"/>
      <c r="L44" s="182"/>
      <c r="M44" s="182"/>
      <c r="N44" s="182"/>
      <c r="O44" s="182"/>
      <c r="P44" s="193"/>
      <c r="Q44" s="190"/>
      <c r="R44" s="212"/>
      <c r="S44" s="191"/>
      <c r="T44" s="212"/>
      <c r="U44" s="233"/>
      <c r="V44" s="213"/>
      <c r="W44" s="185">
        <v>25</v>
      </c>
      <c r="X44" s="327">
        <v>42</v>
      </c>
      <c r="Y44" s="185">
        <v>48</v>
      </c>
      <c r="Z44" s="193"/>
      <c r="AA44" s="193"/>
    </row>
    <row r="45" spans="1:27" s="199" customFormat="1" ht="15.75" x14ac:dyDescent="0.25">
      <c r="A45" s="195"/>
      <c r="B45" s="325" t="s">
        <v>116</v>
      </c>
      <c r="C45" s="322"/>
      <c r="D45" s="180" t="s">
        <v>83</v>
      </c>
      <c r="E45" s="180"/>
      <c r="F45" s="323"/>
      <c r="G45" s="220"/>
      <c r="H45" s="195"/>
      <c r="I45" s="221"/>
      <c r="J45" s="196"/>
      <c r="K45" s="196"/>
      <c r="L45" s="196"/>
      <c r="M45" s="196"/>
      <c r="N45" s="196"/>
      <c r="O45" s="196"/>
      <c r="P45" s="197"/>
      <c r="Q45" s="190"/>
      <c r="R45" s="210"/>
      <c r="S45" s="210" t="s">
        <v>117</v>
      </c>
      <c r="T45" s="212">
        <f>X41-(X42-X41)/(W42-W41)*(32-25)</f>
        <v>41.92</v>
      </c>
      <c r="U45" s="212">
        <f>Y41-(Y42-Y41)/(W42-W41)*(32-25)</f>
        <v>48.36</v>
      </c>
      <c r="V45" s="210"/>
      <c r="W45" s="327">
        <v>46</v>
      </c>
      <c r="X45" s="327">
        <v>51</v>
      </c>
      <c r="Y45" s="185">
        <v>59</v>
      </c>
      <c r="Z45" s="197"/>
      <c r="AA45" s="197"/>
    </row>
    <row r="46" spans="1:27" s="194" customFormat="1" ht="20.25" x14ac:dyDescent="0.3">
      <c r="A46" s="200"/>
      <c r="B46" s="211"/>
      <c r="C46" s="324"/>
      <c r="D46" s="225"/>
      <c r="E46" s="191"/>
      <c r="F46" s="208"/>
      <c r="G46" s="209"/>
      <c r="H46" s="210"/>
      <c r="I46" s="211"/>
      <c r="J46" s="182"/>
      <c r="K46" s="182"/>
      <c r="L46" s="182"/>
      <c r="M46" s="182"/>
      <c r="N46" s="182"/>
      <c r="O46" s="182"/>
      <c r="P46" s="193"/>
      <c r="Q46" s="193"/>
      <c r="R46" s="193"/>
      <c r="S46" s="193"/>
      <c r="T46" s="193"/>
      <c r="U46" s="193"/>
      <c r="V46" s="193"/>
      <c r="W46" s="193"/>
      <c r="X46" s="193"/>
      <c r="Y46" s="193"/>
      <c r="Z46" s="193"/>
      <c r="AA46" s="193"/>
    </row>
    <row r="47" spans="1:27" s="194" customFormat="1" ht="20.25" x14ac:dyDescent="0.3">
      <c r="A47" s="183" t="s">
        <v>96</v>
      </c>
      <c r="B47" s="211"/>
      <c r="C47" s="324"/>
      <c r="D47" s="225"/>
      <c r="E47" s="191"/>
      <c r="F47" s="208"/>
      <c r="G47" s="209"/>
      <c r="H47" s="210"/>
      <c r="I47" s="211"/>
      <c r="J47" s="211"/>
      <c r="K47" s="211"/>
      <c r="L47" s="182"/>
      <c r="M47" s="182"/>
      <c r="N47" s="182"/>
      <c r="O47" s="182"/>
      <c r="P47" s="182"/>
      <c r="Q47" s="182"/>
      <c r="R47" s="193"/>
      <c r="S47" s="193"/>
      <c r="T47" s="193"/>
      <c r="U47" s="193"/>
      <c r="V47" s="193"/>
      <c r="W47" s="193"/>
      <c r="X47" s="193"/>
      <c r="Y47" s="193"/>
      <c r="Z47" s="193"/>
      <c r="AA47" s="193"/>
    </row>
    <row r="48" spans="1:27" s="194" customFormat="1" ht="10.5" customHeight="1" x14ac:dyDescent="0.3">
      <c r="A48" s="200"/>
      <c r="B48" s="211"/>
      <c r="C48" s="324"/>
      <c r="D48" s="225"/>
      <c r="E48" s="191"/>
      <c r="F48" s="208"/>
      <c r="G48" s="209"/>
      <c r="H48" s="210"/>
      <c r="I48" s="211"/>
      <c r="J48" s="211"/>
      <c r="K48" s="211"/>
      <c r="L48" s="182"/>
      <c r="M48" s="182"/>
      <c r="N48" s="182"/>
      <c r="O48" s="182"/>
      <c r="P48" s="182"/>
      <c r="Q48" s="182"/>
      <c r="R48" s="193"/>
      <c r="S48" s="193"/>
      <c r="T48" s="193"/>
      <c r="U48" s="193"/>
      <c r="V48" s="193"/>
      <c r="W48" s="193"/>
      <c r="X48" s="193"/>
      <c r="Y48" s="193"/>
      <c r="Z48" s="193"/>
      <c r="AA48" s="193"/>
    </row>
    <row r="49" spans="1:28" s="205" customFormat="1" ht="15.75" x14ac:dyDescent="0.25">
      <c r="A49" s="200"/>
      <c r="B49" s="525" t="s">
        <v>97</v>
      </c>
      <c r="C49" s="526"/>
      <c r="D49" s="226" t="s">
        <v>98</v>
      </c>
      <c r="E49" s="203"/>
      <c r="F49" s="326"/>
      <c r="G49" s="527" t="s">
        <v>83</v>
      </c>
      <c r="H49" s="200"/>
      <c r="I49" s="325"/>
      <c r="J49" s="325"/>
      <c r="K49" s="325"/>
      <c r="L49" s="201"/>
      <c r="M49" s="201"/>
      <c r="N49" s="201"/>
      <c r="O49" s="201"/>
      <c r="P49" s="201"/>
      <c r="Q49" s="201"/>
      <c r="R49" s="202"/>
      <c r="S49" s="202"/>
      <c r="T49" s="202"/>
      <c r="U49" s="202"/>
      <c r="V49" s="202"/>
      <c r="W49" s="202"/>
      <c r="X49" s="202"/>
      <c r="Y49" s="202"/>
      <c r="Z49" s="202"/>
      <c r="AA49" s="202"/>
    </row>
    <row r="50" spans="1:28" s="205" customFormat="1" ht="15.75" x14ac:dyDescent="0.25">
      <c r="A50" s="201"/>
      <c r="B50" s="526"/>
      <c r="C50" s="526"/>
      <c r="D50" s="202" t="s">
        <v>99</v>
      </c>
      <c r="E50" s="203"/>
      <c r="F50" s="326"/>
      <c r="G50" s="527"/>
      <c r="H50" s="200"/>
      <c r="I50" s="325"/>
      <c r="J50" s="325"/>
      <c r="K50" s="325"/>
      <c r="L50" s="201"/>
      <c r="M50" s="201"/>
      <c r="N50" s="201"/>
      <c r="O50" s="201"/>
      <c r="P50" s="201"/>
      <c r="Q50" s="201"/>
      <c r="R50" s="202"/>
      <c r="S50" s="202"/>
      <c r="T50" s="202"/>
      <c r="U50" s="202"/>
      <c r="V50" s="202"/>
      <c r="W50" s="202"/>
      <c r="X50" s="202"/>
      <c r="Y50" s="202"/>
      <c r="Z50" s="202"/>
      <c r="AA50" s="202"/>
    </row>
    <row r="51" spans="1:28" s="194" customFormat="1" ht="15.75" customHeight="1" x14ac:dyDescent="0.3">
      <c r="A51" s="182"/>
      <c r="B51" s="324"/>
      <c r="C51" s="324"/>
      <c r="D51" s="207"/>
      <c r="E51" s="191"/>
      <c r="F51" s="208"/>
      <c r="G51" s="208"/>
      <c r="H51" s="210"/>
      <c r="I51" s="211"/>
      <c r="J51" s="211"/>
      <c r="K51" s="211"/>
      <c r="L51" s="182"/>
      <c r="M51" s="182"/>
      <c r="N51" s="182"/>
      <c r="O51" s="182"/>
      <c r="P51" s="182"/>
      <c r="Q51" s="182"/>
      <c r="R51" s="193"/>
      <c r="S51" s="190"/>
      <c r="T51" s="190"/>
      <c r="U51" s="236"/>
      <c r="V51" s="193"/>
      <c r="W51" s="193"/>
      <c r="X51" s="193"/>
      <c r="Y51" s="193"/>
      <c r="Z51" s="193"/>
      <c r="AA51" s="193"/>
    </row>
    <row r="52" spans="1:28" s="194" customFormat="1" ht="15.75" customHeight="1" x14ac:dyDescent="0.3">
      <c r="A52" s="182"/>
      <c r="B52" s="328"/>
      <c r="C52" s="324" t="s">
        <v>40</v>
      </c>
      <c r="D52" s="225" t="s">
        <v>118</v>
      </c>
      <c r="E52" s="191"/>
      <c r="F52" s="208"/>
      <c r="G52" s="208"/>
      <c r="H52" s="210"/>
      <c r="I52" s="211"/>
      <c r="J52" s="211"/>
      <c r="K52" s="211"/>
      <c r="L52" s="182"/>
      <c r="M52" s="182"/>
      <c r="N52" s="182"/>
      <c r="O52" s="182"/>
      <c r="P52" s="182"/>
      <c r="Q52" s="182"/>
      <c r="R52" s="193"/>
      <c r="S52" s="190"/>
      <c r="T52" s="190"/>
      <c r="U52" s="236"/>
      <c r="V52" s="193"/>
      <c r="W52" s="193"/>
      <c r="X52" s="193"/>
      <c r="Y52" s="193"/>
      <c r="Z52" s="193"/>
      <c r="AA52" s="193"/>
    </row>
    <row r="53" spans="1:28" s="194" customFormat="1" ht="17.45" customHeight="1" x14ac:dyDescent="0.3">
      <c r="A53" s="182"/>
      <c r="B53" s="324"/>
      <c r="C53" s="324"/>
      <c r="D53" s="207"/>
      <c r="E53" s="191"/>
      <c r="F53" s="208"/>
      <c r="G53" s="208"/>
      <c r="H53" s="210"/>
      <c r="I53" s="211"/>
      <c r="J53" s="211"/>
      <c r="K53" s="211"/>
      <c r="L53" s="182"/>
      <c r="M53" s="182"/>
      <c r="N53" s="182"/>
      <c r="O53" s="182"/>
      <c r="P53" s="182"/>
      <c r="Q53" s="182"/>
      <c r="R53" s="193"/>
      <c r="S53" s="190"/>
      <c r="T53" s="190"/>
      <c r="U53" s="236"/>
      <c r="V53" s="193"/>
      <c r="W53" s="193"/>
      <c r="X53" s="193"/>
      <c r="Y53" s="193"/>
      <c r="Z53" s="193"/>
      <c r="AA53" s="193"/>
    </row>
    <row r="54" spans="1:28" s="238" customFormat="1" ht="14.25" customHeight="1" thickBot="1" x14ac:dyDescent="0.25">
      <c r="A54" s="190"/>
      <c r="B54" s="191"/>
      <c r="C54" s="191"/>
      <c r="D54" s="191"/>
      <c r="E54" s="191"/>
      <c r="F54" s="191"/>
      <c r="G54" s="191"/>
      <c r="H54" s="191"/>
      <c r="I54" s="191"/>
      <c r="J54" s="191"/>
      <c r="K54" s="191"/>
      <c r="L54" s="191"/>
      <c r="M54" s="237"/>
      <c r="N54" s="237"/>
      <c r="O54" s="237"/>
      <c r="P54" s="237"/>
      <c r="Q54" s="237"/>
      <c r="R54" s="237"/>
      <c r="S54" s="237"/>
      <c r="T54" s="237"/>
      <c r="U54" s="237"/>
      <c r="V54" s="237"/>
      <c r="W54" s="237"/>
      <c r="X54" s="237"/>
      <c r="Y54" s="237"/>
      <c r="Z54" s="237"/>
      <c r="AA54" s="237"/>
    </row>
    <row r="55" spans="1:28" s="242" customFormat="1" ht="38.25" customHeight="1" x14ac:dyDescent="0.2">
      <c r="A55" s="513" t="s">
        <v>119</v>
      </c>
      <c r="B55" s="513"/>
      <c r="C55" s="542" t="s">
        <v>120</v>
      </c>
      <c r="D55" s="543"/>
      <c r="E55" s="544" t="s">
        <v>121</v>
      </c>
      <c r="F55" s="545"/>
      <c r="G55" s="239" t="s">
        <v>219</v>
      </c>
      <c r="H55" s="536" t="s">
        <v>122</v>
      </c>
      <c r="I55" s="536" t="s">
        <v>123</v>
      </c>
      <c r="J55" s="513" t="s">
        <v>124</v>
      </c>
      <c r="K55" s="513" t="s">
        <v>35</v>
      </c>
      <c r="L55" s="513" t="s">
        <v>125</v>
      </c>
      <c r="M55" s="529" t="s">
        <v>41</v>
      </c>
      <c r="N55" s="530"/>
      <c r="O55" s="529" t="s">
        <v>42</v>
      </c>
      <c r="P55" s="530"/>
      <c r="Q55" s="529" t="s">
        <v>43</v>
      </c>
      <c r="R55" s="530"/>
      <c r="S55" s="529" t="s">
        <v>44</v>
      </c>
      <c r="T55" s="530"/>
      <c r="U55" s="529" t="s">
        <v>45</v>
      </c>
      <c r="V55" s="530"/>
      <c r="W55" s="529" t="s">
        <v>46</v>
      </c>
      <c r="X55" s="530"/>
      <c r="Y55" s="529" t="s">
        <v>49</v>
      </c>
      <c r="Z55" s="539"/>
      <c r="AA55" s="240" t="s">
        <v>28</v>
      </c>
      <c r="AB55" s="241"/>
    </row>
    <row r="56" spans="1:28" s="242" customFormat="1" ht="29.25" customHeight="1" x14ac:dyDescent="0.2">
      <c r="A56" s="514"/>
      <c r="B56" s="514"/>
      <c r="C56" s="513" t="s">
        <v>126</v>
      </c>
      <c r="D56" s="513" t="s">
        <v>127</v>
      </c>
      <c r="E56" s="319" t="s">
        <v>128</v>
      </c>
      <c r="F56" s="319" t="s">
        <v>129</v>
      </c>
      <c r="G56" s="244" t="s">
        <v>83</v>
      </c>
      <c r="H56" s="537"/>
      <c r="I56" s="537"/>
      <c r="J56" s="514"/>
      <c r="K56" s="514"/>
      <c r="L56" s="514"/>
      <c r="M56" s="513" t="s">
        <v>130</v>
      </c>
      <c r="N56" s="513" t="s">
        <v>131</v>
      </c>
      <c r="O56" s="513" t="s">
        <v>130</v>
      </c>
      <c r="P56" s="513" t="s">
        <v>131</v>
      </c>
      <c r="Q56" s="513" t="s">
        <v>130</v>
      </c>
      <c r="R56" s="513" t="s">
        <v>131</v>
      </c>
      <c r="S56" s="513" t="s">
        <v>130</v>
      </c>
      <c r="T56" s="513" t="s">
        <v>131</v>
      </c>
      <c r="U56" s="513" t="s">
        <v>130</v>
      </c>
      <c r="V56" s="513" t="s">
        <v>131</v>
      </c>
      <c r="W56" s="513" t="s">
        <v>130</v>
      </c>
      <c r="X56" s="513" t="s">
        <v>131</v>
      </c>
      <c r="Y56" s="513" t="s">
        <v>130</v>
      </c>
      <c r="Z56" s="540" t="s">
        <v>131</v>
      </c>
      <c r="AA56" s="245" t="s">
        <v>29</v>
      </c>
    </row>
    <row r="57" spans="1:28" s="242" customFormat="1" ht="25.5" customHeight="1" thickBot="1" x14ac:dyDescent="0.25">
      <c r="A57" s="515"/>
      <c r="B57" s="515"/>
      <c r="C57" s="515"/>
      <c r="D57" s="515"/>
      <c r="E57" s="319" t="s">
        <v>132</v>
      </c>
      <c r="F57" s="319" t="s">
        <v>133</v>
      </c>
      <c r="G57" s="246"/>
      <c r="H57" s="538"/>
      <c r="I57" s="538"/>
      <c r="J57" s="515"/>
      <c r="K57" s="515"/>
      <c r="L57" s="515"/>
      <c r="M57" s="515"/>
      <c r="N57" s="515"/>
      <c r="O57" s="515"/>
      <c r="P57" s="515"/>
      <c r="Q57" s="515"/>
      <c r="R57" s="515"/>
      <c r="S57" s="515"/>
      <c r="T57" s="515"/>
      <c r="U57" s="515"/>
      <c r="V57" s="515"/>
      <c r="W57" s="515"/>
      <c r="X57" s="515"/>
      <c r="Y57" s="515"/>
      <c r="Z57" s="541"/>
      <c r="AA57" s="247"/>
    </row>
    <row r="58" spans="1:28" s="238" customFormat="1" ht="15.75" x14ac:dyDescent="0.2">
      <c r="A58" s="283" t="s">
        <v>157</v>
      </c>
      <c r="B58" s="284"/>
      <c r="C58" s="284"/>
      <c r="D58" s="284"/>
      <c r="E58" s="284"/>
      <c r="F58" s="284"/>
      <c r="G58" s="271"/>
      <c r="H58" s="284"/>
      <c r="I58" s="284"/>
      <c r="J58" s="271"/>
      <c r="K58" s="284"/>
      <c r="L58" s="271"/>
      <c r="M58" s="271"/>
      <c r="N58" s="272"/>
      <c r="O58" s="273"/>
      <c r="P58" s="273"/>
      <c r="Q58" s="273"/>
      <c r="R58" s="273"/>
      <c r="S58" s="273"/>
      <c r="T58" s="273"/>
      <c r="U58" s="273"/>
      <c r="V58" s="273"/>
      <c r="W58" s="273"/>
      <c r="X58" s="273"/>
      <c r="Y58" s="273"/>
      <c r="Z58" s="274"/>
      <c r="AA58" s="275" t="s">
        <v>158</v>
      </c>
    </row>
    <row r="59" spans="1:28" s="238" customFormat="1" ht="15.75" x14ac:dyDescent="0.2">
      <c r="A59" s="177">
        <v>219</v>
      </c>
      <c r="B59" s="177" t="s">
        <v>136</v>
      </c>
      <c r="C59" s="329">
        <v>137.19999999999999</v>
      </c>
      <c r="D59" s="329">
        <v>137.19999999999999</v>
      </c>
      <c r="E59" s="329">
        <v>113</v>
      </c>
      <c r="F59" s="329">
        <v>130</v>
      </c>
      <c r="G59" s="177" t="e">
        <f>E59+((F59-E59)/(65-52.5))*((($E$11+$F$11)/2-$G$11)-52.5)</f>
        <v>#REF!</v>
      </c>
      <c r="H59" s="177">
        <v>1.2</v>
      </c>
      <c r="I59" s="177">
        <v>1</v>
      </c>
      <c r="J59" s="177" t="e">
        <f>H59*C59*G59*I59</f>
        <v>#REF!</v>
      </c>
      <c r="K59" s="177">
        <v>32.36</v>
      </c>
      <c r="L59" s="177">
        <f>(C59+D59)*K59*0.001</f>
        <v>8.8795839999999995</v>
      </c>
      <c r="M59" s="177" t="e">
        <f>J59*(($E$4+$F$4-2*$G$4)/($E$11+$F$11-2*$G$11))</f>
        <v>#REF!</v>
      </c>
      <c r="N59" s="320">
        <f>0.00125*1*L59*($E$4+$F$4-2*5)*1000</f>
        <v>1121.0474800000002</v>
      </c>
      <c r="O59" s="185" t="e">
        <f>J59*(($E$5+$F$5-2*$G$5)/($E$11+$F$11-2*$G$11))</f>
        <v>#REF!</v>
      </c>
      <c r="P59" s="185">
        <f>0.00125*1*L59*($E$5+$F$5-2*5)*1000</f>
        <v>1032.25164</v>
      </c>
      <c r="Q59" s="185" t="e">
        <f>J59*(($E$6+$F$6-2*$G$6)/($E$11+$F$11-2*$G$11))</f>
        <v>#REF!</v>
      </c>
      <c r="R59" s="185">
        <f>0.00125*1*L59*($E$6+$F$6-2*5)*1000</f>
        <v>887.95839999999998</v>
      </c>
      <c r="S59" s="185" t="e">
        <f>J59*(($E$7+$F$7-2*$G$7)/($E$11+$F$11-2*$G$11))</f>
        <v>#REF!</v>
      </c>
      <c r="T59" s="185">
        <f>0.00125*1*L59*($E$7+$F$7-2*5)*1000</f>
        <v>754.76463999999999</v>
      </c>
      <c r="U59" s="185" t="e">
        <f>J59*(($E$8+$F$8-2*$G$8)/($E$11+$F$11-2*$G$11))</f>
        <v>#REF!</v>
      </c>
      <c r="V59" s="185">
        <f>0.00125*1*L59*($E$8+$F$8-2*5)*1000</f>
        <v>854.65995999999996</v>
      </c>
      <c r="W59" s="185" t="e">
        <f>J59*(($E$9+$F$9-2*$G$9)/($E$11+$F$11-2*$G$11))</f>
        <v>#REF!</v>
      </c>
      <c r="X59" s="185">
        <f>0.00125*1*L59*($E$9+$F$9-2*5)*1000</f>
        <v>899.05787999999995</v>
      </c>
      <c r="Y59" s="185" t="e">
        <f>J59*(($E$10+$F$10-2*$G$10)/($E$11+$F$11-2*$G$11))</f>
        <v>#REF!</v>
      </c>
      <c r="Z59" s="251">
        <f>0.00125*1*L59*($E$10+$F$10-2*5)*1000</f>
        <v>1021.15216</v>
      </c>
      <c r="AA59" s="252"/>
    </row>
    <row r="60" spans="1:28" s="238" customFormat="1" ht="15.75" x14ac:dyDescent="0.2">
      <c r="A60" s="177">
        <v>159</v>
      </c>
      <c r="B60" s="177" t="s">
        <v>136</v>
      </c>
      <c r="C60" s="329">
        <v>86.5</v>
      </c>
      <c r="D60" s="329">
        <v>86.5</v>
      </c>
      <c r="E60" s="329">
        <v>94</v>
      </c>
      <c r="F60" s="329">
        <v>107</v>
      </c>
      <c r="G60" s="177" t="e">
        <f>E60+((F60-E60)/(65-52.5))*((($E$11+$F$11)/2-$G$11)-52.5)</f>
        <v>#REF!</v>
      </c>
      <c r="H60" s="177">
        <v>1.2</v>
      </c>
      <c r="I60" s="177">
        <v>1</v>
      </c>
      <c r="J60" s="177" t="e">
        <f>H60*C60*G60*I60</f>
        <v>#REF!</v>
      </c>
      <c r="K60" s="177">
        <v>17.670000000000002</v>
      </c>
      <c r="L60" s="177">
        <f>(C60+D60)*K60*0.001</f>
        <v>3.0569100000000002</v>
      </c>
      <c r="M60" s="177" t="e">
        <f t="shared" ref="M60:M66" si="1">J60*(($E$4+$F$4-2*$G$4)/($E$11+$F$11-2*$G$11))</f>
        <v>#REF!</v>
      </c>
      <c r="N60" s="320">
        <f t="shared" ref="N60:N66" si="2">0.00125*1*L60*($E$4+$F$4-2*5)*1000</f>
        <v>385.93488750000006</v>
      </c>
      <c r="O60" s="185" t="e">
        <f t="shared" ref="O60:O66" si="3">J60*(($E$5+$F$5-2*$G$5)/($E$11+$F$11-2*$G$11))</f>
        <v>#REF!</v>
      </c>
      <c r="P60" s="185">
        <f t="shared" ref="P60:P66" si="4">0.00125*1*L60*($E$5+$F$5-2*5)*1000</f>
        <v>355.36578750000001</v>
      </c>
      <c r="Q60" s="185" t="e">
        <f t="shared" ref="Q60:Q66" si="5">J60*(($E$6+$F$6-2*$G$6)/($E$11+$F$11-2*$G$11))</f>
        <v>#REF!</v>
      </c>
      <c r="R60" s="185">
        <f t="shared" ref="R60:R66" si="6">0.00125*1*L60*($E$6+$F$6-2*5)*1000</f>
        <v>305.69100000000003</v>
      </c>
      <c r="S60" s="185" t="e">
        <f t="shared" ref="S60:S66" si="7">J60*(($E$7+$F$7-2*$G$7)/($E$11+$F$11-2*$G$11))</f>
        <v>#REF!</v>
      </c>
      <c r="T60" s="185">
        <f t="shared" ref="T60:T66" si="8">0.00125*1*L60*($E$7+$F$7-2*5)*1000</f>
        <v>259.83735000000001</v>
      </c>
      <c r="U60" s="185" t="e">
        <f t="shared" ref="U60:U66" si="9">J60*(($E$8+$F$8-2*$G$8)/($E$11+$F$11-2*$G$11))</f>
        <v>#REF!</v>
      </c>
      <c r="V60" s="185">
        <f t="shared" ref="V60:V66" si="10">0.00125*1*L60*($E$8+$F$8-2*5)*1000</f>
        <v>294.22758750000003</v>
      </c>
      <c r="W60" s="185" t="e">
        <f t="shared" ref="W60:W66" si="11">J60*(($E$9+$F$9-2*$G$9)/($E$11+$F$11-2*$G$11))</f>
        <v>#REF!</v>
      </c>
      <c r="X60" s="185">
        <f t="shared" ref="X60:X66" si="12">0.00125*1*L60*($E$9+$F$9-2*5)*1000</f>
        <v>309.51213749999999</v>
      </c>
      <c r="Y60" s="185" t="e">
        <f t="shared" ref="Y60:Y66" si="13">J60*(($E$10+$F$10-2*$G$10)/($E$11+$F$11-2*$G$11))</f>
        <v>#REF!</v>
      </c>
      <c r="Z60" s="251">
        <f t="shared" ref="Z60:Z66" si="14">0.00125*1*L60*($E$10+$F$10-2*5)*1000</f>
        <v>351.54464999999999</v>
      </c>
      <c r="AA60" s="252"/>
    </row>
    <row r="61" spans="1:28" s="238" customFormat="1" ht="15.75" x14ac:dyDescent="0.2">
      <c r="A61" s="177">
        <v>159</v>
      </c>
      <c r="B61" s="177" t="s">
        <v>136</v>
      </c>
      <c r="C61" s="329">
        <v>227.92</v>
      </c>
      <c r="D61" s="329">
        <v>227.92</v>
      </c>
      <c r="E61" s="330">
        <v>33</v>
      </c>
      <c r="F61" s="330">
        <v>22</v>
      </c>
      <c r="G61" s="177">
        <f>SUM(E61:F61)</f>
        <v>55</v>
      </c>
      <c r="H61" s="177">
        <v>1.2</v>
      </c>
      <c r="I61" s="177">
        <v>1</v>
      </c>
      <c r="J61" s="177">
        <f t="shared" ref="J61:J66" si="15">H61*C61*G61*I61</f>
        <v>15042.719999999998</v>
      </c>
      <c r="K61" s="177">
        <v>17.670000000000002</v>
      </c>
      <c r="L61" s="177">
        <f t="shared" ref="L61:L66" si="16">(C61+D61)*K61*0.001</f>
        <v>8.0546928000000015</v>
      </c>
      <c r="M61" s="177" t="e">
        <f t="shared" si="1"/>
        <v>#REF!</v>
      </c>
      <c r="N61" s="320">
        <f t="shared" si="2"/>
        <v>1016.9049660000003</v>
      </c>
      <c r="O61" s="185" t="e">
        <f t="shared" si="3"/>
        <v>#REF!</v>
      </c>
      <c r="P61" s="185">
        <f t="shared" si="4"/>
        <v>936.35803800000019</v>
      </c>
      <c r="Q61" s="185" t="e">
        <f t="shared" si="5"/>
        <v>#REF!</v>
      </c>
      <c r="R61" s="185">
        <f t="shared" si="6"/>
        <v>805.46928000000014</v>
      </c>
      <c r="S61" s="185" t="e">
        <f t="shared" si="7"/>
        <v>#REF!</v>
      </c>
      <c r="T61" s="185">
        <f t="shared" si="8"/>
        <v>684.64888800000017</v>
      </c>
      <c r="U61" s="185" t="e">
        <f t="shared" si="9"/>
        <v>#REF!</v>
      </c>
      <c r="V61" s="185">
        <f t="shared" si="10"/>
        <v>775.26418200000012</v>
      </c>
      <c r="W61" s="185" t="e">
        <f t="shared" si="11"/>
        <v>#REF!</v>
      </c>
      <c r="X61" s="185">
        <f t="shared" si="12"/>
        <v>815.53764600000022</v>
      </c>
      <c r="Y61" s="185" t="e">
        <f t="shared" si="13"/>
        <v>#REF!</v>
      </c>
      <c r="Z61" s="251">
        <f t="shared" si="14"/>
        <v>926.28967200000022</v>
      </c>
      <c r="AA61" s="252"/>
    </row>
    <row r="62" spans="1:28" s="238" customFormat="1" ht="15.75" x14ac:dyDescent="0.2">
      <c r="A62" s="177">
        <v>108</v>
      </c>
      <c r="B62" s="177" t="s">
        <v>136</v>
      </c>
      <c r="C62" s="329">
        <v>107.12</v>
      </c>
      <c r="D62" s="329">
        <v>107.12</v>
      </c>
      <c r="E62" s="329">
        <v>76</v>
      </c>
      <c r="F62" s="329">
        <v>88</v>
      </c>
      <c r="G62" s="177" t="e">
        <f>E62+((F62-E62)/(65-52.5))*((($E$11+$F$11)/2-$G$11)-52.5)</f>
        <v>#REF!</v>
      </c>
      <c r="H62" s="177">
        <v>1.2</v>
      </c>
      <c r="I62" s="177">
        <v>1</v>
      </c>
      <c r="J62" s="177" t="e">
        <f t="shared" si="15"/>
        <v>#REF!</v>
      </c>
      <c r="K62" s="177">
        <v>7.8540000000000001</v>
      </c>
      <c r="L62" s="177">
        <f t="shared" si="16"/>
        <v>1.6826409600000003</v>
      </c>
      <c r="M62" s="177" t="e">
        <f t="shared" si="1"/>
        <v>#REF!</v>
      </c>
      <c r="N62" s="320">
        <f t="shared" si="2"/>
        <v>212.43342120000005</v>
      </c>
      <c r="O62" s="185" t="e">
        <f t="shared" si="3"/>
        <v>#REF!</v>
      </c>
      <c r="P62" s="185">
        <f t="shared" si="4"/>
        <v>195.60701160000005</v>
      </c>
      <c r="Q62" s="185" t="e">
        <f t="shared" si="5"/>
        <v>#REF!</v>
      </c>
      <c r="R62" s="185">
        <f t="shared" si="6"/>
        <v>168.26409600000005</v>
      </c>
      <c r="S62" s="185" t="e">
        <f t="shared" si="7"/>
        <v>#REF!</v>
      </c>
      <c r="T62" s="185">
        <f t="shared" si="8"/>
        <v>143.02448160000003</v>
      </c>
      <c r="U62" s="185" t="e">
        <f t="shared" si="9"/>
        <v>#REF!</v>
      </c>
      <c r="V62" s="185">
        <f t="shared" si="10"/>
        <v>161.95419240000007</v>
      </c>
      <c r="W62" s="185" t="e">
        <f t="shared" si="11"/>
        <v>#REF!</v>
      </c>
      <c r="X62" s="185">
        <f t="shared" si="12"/>
        <v>170.36739720000006</v>
      </c>
      <c r="Y62" s="185" t="e">
        <f t="shared" si="13"/>
        <v>#REF!</v>
      </c>
      <c r="Z62" s="251">
        <f t="shared" si="14"/>
        <v>193.50371040000005</v>
      </c>
      <c r="AA62" s="252"/>
    </row>
    <row r="63" spans="1:28" s="238" customFormat="1" ht="15.75" x14ac:dyDescent="0.2">
      <c r="A63" s="253">
        <v>108</v>
      </c>
      <c r="B63" s="177" t="s">
        <v>136</v>
      </c>
      <c r="C63" s="331">
        <v>223.35</v>
      </c>
      <c r="D63" s="331">
        <v>223.35</v>
      </c>
      <c r="E63" s="332">
        <v>28</v>
      </c>
      <c r="F63" s="332">
        <v>19</v>
      </c>
      <c r="G63" s="253">
        <f>SUM(E63:F63)</f>
        <v>47</v>
      </c>
      <c r="H63" s="177">
        <v>1.2</v>
      </c>
      <c r="I63" s="177">
        <v>1</v>
      </c>
      <c r="J63" s="177">
        <f t="shared" si="15"/>
        <v>12596.939999999999</v>
      </c>
      <c r="K63" s="177">
        <v>7.8540000000000001</v>
      </c>
      <c r="L63" s="177">
        <f t="shared" si="16"/>
        <v>3.5083818</v>
      </c>
      <c r="M63" s="177" t="e">
        <f t="shared" si="1"/>
        <v>#REF!</v>
      </c>
      <c r="N63" s="320">
        <f t="shared" si="2"/>
        <v>442.93320225000002</v>
      </c>
      <c r="O63" s="185" t="e">
        <f t="shared" si="3"/>
        <v>#REF!</v>
      </c>
      <c r="P63" s="185">
        <f t="shared" si="4"/>
        <v>407.84938425000007</v>
      </c>
      <c r="Q63" s="185" t="e">
        <f t="shared" si="5"/>
        <v>#REF!</v>
      </c>
      <c r="R63" s="185">
        <f t="shared" si="6"/>
        <v>350.83818000000002</v>
      </c>
      <c r="S63" s="185" t="e">
        <f t="shared" si="7"/>
        <v>#REF!</v>
      </c>
      <c r="T63" s="185">
        <f t="shared" si="8"/>
        <v>298.21245300000004</v>
      </c>
      <c r="U63" s="185" t="e">
        <f t="shared" si="9"/>
        <v>#REF!</v>
      </c>
      <c r="V63" s="185">
        <f t="shared" si="10"/>
        <v>337.68174825</v>
      </c>
      <c r="W63" s="185" t="e">
        <f t="shared" si="11"/>
        <v>#REF!</v>
      </c>
      <c r="X63" s="185">
        <f t="shared" si="12"/>
        <v>355.22365725000003</v>
      </c>
      <c r="Y63" s="185" t="e">
        <f t="shared" si="13"/>
        <v>#REF!</v>
      </c>
      <c r="Z63" s="251">
        <f t="shared" si="14"/>
        <v>403.46390700000001</v>
      </c>
      <c r="AA63" s="254"/>
    </row>
    <row r="64" spans="1:28" s="238" customFormat="1" ht="15.75" x14ac:dyDescent="0.2">
      <c r="A64" s="253">
        <v>89</v>
      </c>
      <c r="B64" s="177" t="s">
        <v>136</v>
      </c>
      <c r="C64" s="331">
        <v>47.8</v>
      </c>
      <c r="D64" s="331">
        <v>47.8</v>
      </c>
      <c r="E64" s="331">
        <v>69</v>
      </c>
      <c r="F64" s="331">
        <v>80</v>
      </c>
      <c r="G64" s="177" t="e">
        <f>E64+((F64-E64)/(65-52.5))*((($E$11+$F$11)/2-$G$11)-52.5)</f>
        <v>#REF!</v>
      </c>
      <c r="H64" s="177">
        <v>1.2</v>
      </c>
      <c r="I64" s="177">
        <v>1</v>
      </c>
      <c r="J64" s="177" t="e">
        <f t="shared" si="15"/>
        <v>#REF!</v>
      </c>
      <c r="K64" s="177">
        <v>5.1529999999999996</v>
      </c>
      <c r="L64" s="177">
        <f t="shared" si="16"/>
        <v>0.49262679999999998</v>
      </c>
      <c r="M64" s="177" t="e">
        <f t="shared" si="1"/>
        <v>#REF!</v>
      </c>
      <c r="N64" s="320">
        <f t="shared" si="2"/>
        <v>62.1941335</v>
      </c>
      <c r="O64" s="185" t="e">
        <f t="shared" si="3"/>
        <v>#REF!</v>
      </c>
      <c r="P64" s="185">
        <f t="shared" si="4"/>
        <v>57.267865499999999</v>
      </c>
      <c r="Q64" s="185" t="e">
        <f t="shared" si="5"/>
        <v>#REF!</v>
      </c>
      <c r="R64" s="185">
        <f t="shared" si="6"/>
        <v>49.262680000000003</v>
      </c>
      <c r="S64" s="185" t="e">
        <f t="shared" si="7"/>
        <v>#REF!</v>
      </c>
      <c r="T64" s="185">
        <f t="shared" si="8"/>
        <v>41.873277999999999</v>
      </c>
      <c r="U64" s="185" t="e">
        <f t="shared" si="9"/>
        <v>#REF!</v>
      </c>
      <c r="V64" s="185">
        <f t="shared" si="10"/>
        <v>47.415329499999999</v>
      </c>
      <c r="W64" s="185" t="e">
        <f t="shared" si="11"/>
        <v>#REF!</v>
      </c>
      <c r="X64" s="185">
        <f t="shared" si="12"/>
        <v>49.878463500000002</v>
      </c>
      <c r="Y64" s="185" t="e">
        <f t="shared" si="13"/>
        <v>#REF!</v>
      </c>
      <c r="Z64" s="251">
        <f t="shared" si="14"/>
        <v>56.652082</v>
      </c>
      <c r="AA64" s="254"/>
    </row>
    <row r="65" spans="1:27" s="238" customFormat="1" ht="15.75" x14ac:dyDescent="0.2">
      <c r="A65" s="177">
        <v>57</v>
      </c>
      <c r="B65" s="253" t="s">
        <v>136</v>
      </c>
      <c r="C65" s="331">
        <v>539.26</v>
      </c>
      <c r="D65" s="331">
        <v>539.26</v>
      </c>
      <c r="E65" s="331">
        <v>56</v>
      </c>
      <c r="F65" s="331">
        <v>65</v>
      </c>
      <c r="G65" s="177" t="e">
        <f>E65+((F65-E65)/(65-52.5))*((($E$11+$F$11)/2-$G$11)-52.5)</f>
        <v>#REF!</v>
      </c>
      <c r="H65" s="177">
        <v>1.2</v>
      </c>
      <c r="I65" s="177">
        <v>1</v>
      </c>
      <c r="J65" s="177" t="e">
        <f t="shared" si="15"/>
        <v>#REF!</v>
      </c>
      <c r="K65" s="253">
        <v>1.9630000000000001</v>
      </c>
      <c r="L65" s="177">
        <f t="shared" si="16"/>
        <v>2.1171347599999999</v>
      </c>
      <c r="M65" s="177" t="e">
        <f t="shared" si="1"/>
        <v>#REF!</v>
      </c>
      <c r="N65" s="320">
        <f t="shared" si="2"/>
        <v>267.28826344999993</v>
      </c>
      <c r="O65" s="185" t="e">
        <f t="shared" si="3"/>
        <v>#REF!</v>
      </c>
      <c r="P65" s="185">
        <f t="shared" si="4"/>
        <v>246.11691584999997</v>
      </c>
      <c r="Q65" s="185" t="e">
        <f t="shared" si="5"/>
        <v>#REF!</v>
      </c>
      <c r="R65" s="185">
        <f t="shared" si="6"/>
        <v>211.71347599999999</v>
      </c>
      <c r="S65" s="185" t="e">
        <f t="shared" si="7"/>
        <v>#REF!</v>
      </c>
      <c r="T65" s="185">
        <f t="shared" si="8"/>
        <v>179.95645459999997</v>
      </c>
      <c r="U65" s="185" t="e">
        <f t="shared" si="9"/>
        <v>#REF!</v>
      </c>
      <c r="V65" s="185">
        <f t="shared" si="10"/>
        <v>203.77422064999999</v>
      </c>
      <c r="W65" s="185" t="e">
        <f t="shared" si="11"/>
        <v>#REF!</v>
      </c>
      <c r="X65" s="185">
        <f t="shared" si="12"/>
        <v>214.35989444999998</v>
      </c>
      <c r="Y65" s="185" t="e">
        <f t="shared" si="13"/>
        <v>#REF!</v>
      </c>
      <c r="Z65" s="251">
        <f t="shared" si="14"/>
        <v>243.4704974</v>
      </c>
      <c r="AA65" s="254"/>
    </row>
    <row r="66" spans="1:27" s="238" customFormat="1" ht="16.5" thickBot="1" x14ac:dyDescent="0.25">
      <c r="A66" s="289">
        <v>57</v>
      </c>
      <c r="B66" s="253" t="s">
        <v>136</v>
      </c>
      <c r="C66" s="329">
        <v>113.05</v>
      </c>
      <c r="D66" s="329">
        <v>113.05</v>
      </c>
      <c r="E66" s="330">
        <v>19</v>
      </c>
      <c r="F66" s="330">
        <v>13</v>
      </c>
      <c r="G66" s="276">
        <f>SUM(E66:F66)</f>
        <v>32</v>
      </c>
      <c r="H66" s="177">
        <v>1.2</v>
      </c>
      <c r="I66" s="177">
        <v>1</v>
      </c>
      <c r="J66" s="177">
        <f t="shared" si="15"/>
        <v>4341.12</v>
      </c>
      <c r="K66" s="253">
        <v>1.9630000000000001</v>
      </c>
      <c r="L66" s="177">
        <f t="shared" si="16"/>
        <v>0.44383430000000001</v>
      </c>
      <c r="M66" s="177" t="e">
        <f t="shared" si="1"/>
        <v>#REF!</v>
      </c>
      <c r="N66" s="320">
        <f t="shared" si="2"/>
        <v>56.034080374999995</v>
      </c>
      <c r="O66" s="185" t="e">
        <f t="shared" si="3"/>
        <v>#REF!</v>
      </c>
      <c r="P66" s="185">
        <f t="shared" si="4"/>
        <v>51.595737374999999</v>
      </c>
      <c r="Q66" s="185" t="e">
        <f t="shared" si="5"/>
        <v>#REF!</v>
      </c>
      <c r="R66" s="185">
        <f t="shared" si="6"/>
        <v>44.383430000000004</v>
      </c>
      <c r="S66" s="185" t="e">
        <f t="shared" si="7"/>
        <v>#REF!</v>
      </c>
      <c r="T66" s="185">
        <f t="shared" si="8"/>
        <v>37.725915499999999</v>
      </c>
      <c r="U66" s="185" t="e">
        <f t="shared" si="9"/>
        <v>#REF!</v>
      </c>
      <c r="V66" s="185">
        <f t="shared" si="10"/>
        <v>42.719051374999999</v>
      </c>
      <c r="W66" s="185" t="e">
        <f t="shared" si="11"/>
        <v>#REF!</v>
      </c>
      <c r="X66" s="185">
        <f t="shared" si="12"/>
        <v>44.938222875000001</v>
      </c>
      <c r="Y66" s="185" t="e">
        <f t="shared" si="13"/>
        <v>#REF!</v>
      </c>
      <c r="Z66" s="251">
        <f t="shared" si="14"/>
        <v>51.040944499999995</v>
      </c>
      <c r="AA66" s="290"/>
    </row>
    <row r="67" spans="1:27" s="238" customFormat="1" ht="15.75" x14ac:dyDescent="0.2">
      <c r="A67" s="256" t="s">
        <v>139</v>
      </c>
      <c r="B67" s="258"/>
      <c r="C67" s="291">
        <f>SUM(C59:C66)</f>
        <v>1482.2</v>
      </c>
      <c r="D67" s="291">
        <f>SUM(D59:D66)</f>
        <v>1482.2</v>
      </c>
      <c r="E67" s="271"/>
      <c r="F67" s="271"/>
      <c r="G67" s="258"/>
      <c r="H67" s="258"/>
      <c r="I67" s="258"/>
      <c r="J67" s="258"/>
      <c r="K67" s="258"/>
      <c r="L67" s="258"/>
      <c r="M67" s="258" t="e">
        <f t="shared" ref="M67:Z67" si="17">SUM(M59:M65)</f>
        <v>#REF!</v>
      </c>
      <c r="N67" s="259">
        <f t="shared" si="17"/>
        <v>3508.7363539000007</v>
      </c>
      <c r="O67" s="260" t="e">
        <f t="shared" si="17"/>
        <v>#REF!</v>
      </c>
      <c r="P67" s="260">
        <f t="shared" si="17"/>
        <v>3230.8166427000006</v>
      </c>
      <c r="Q67" s="260" t="e">
        <f t="shared" si="17"/>
        <v>#REF!</v>
      </c>
      <c r="R67" s="260">
        <f t="shared" si="17"/>
        <v>2779.1971119999998</v>
      </c>
      <c r="S67" s="260" t="e">
        <f t="shared" si="17"/>
        <v>#REF!</v>
      </c>
      <c r="T67" s="260">
        <f t="shared" si="17"/>
        <v>2362.3175452000005</v>
      </c>
      <c r="U67" s="260" t="e">
        <f t="shared" si="17"/>
        <v>#REF!</v>
      </c>
      <c r="V67" s="260">
        <f t="shared" si="17"/>
        <v>2674.9772203000007</v>
      </c>
      <c r="W67" s="260" t="e">
        <f t="shared" si="17"/>
        <v>#REF!</v>
      </c>
      <c r="X67" s="260">
        <f t="shared" si="17"/>
        <v>2813.9370759000003</v>
      </c>
      <c r="Y67" s="260" t="e">
        <f t="shared" si="17"/>
        <v>#REF!</v>
      </c>
      <c r="Z67" s="261">
        <f t="shared" si="17"/>
        <v>3196.0766788000005</v>
      </c>
      <c r="AA67" s="249"/>
    </row>
    <row r="68" spans="1:27" s="238" customFormat="1" ht="16.5" thickBot="1" x14ac:dyDescent="0.3">
      <c r="A68" s="277"/>
      <c r="B68" s="265" t="s">
        <v>140</v>
      </c>
      <c r="C68" s="265">
        <v>0</v>
      </c>
      <c r="D68" s="265">
        <v>0</v>
      </c>
      <c r="E68" s="266"/>
      <c r="F68" s="266"/>
      <c r="G68" s="266"/>
      <c r="H68" s="266"/>
      <c r="I68" s="266"/>
      <c r="J68" s="266"/>
      <c r="K68" s="266"/>
      <c r="L68" s="266"/>
      <c r="M68" s="266"/>
      <c r="N68" s="267" t="e">
        <f>ROUND(((M67+N67)*31*24*0.000001),2)</f>
        <v>#REF!</v>
      </c>
      <c r="O68" s="281"/>
      <c r="P68" s="281" t="e">
        <f>ROUND(((O67+P67)*28*24*0.000001),2)</f>
        <v>#REF!</v>
      </c>
      <c r="Q68" s="281"/>
      <c r="R68" s="281" t="e">
        <f>ROUND(((Q67+R67)*31*24*0.000001),2)</f>
        <v>#REF!</v>
      </c>
      <c r="S68" s="281"/>
      <c r="T68" s="281" t="e">
        <f>ROUND(((S67+T67)*14*24*0.000001),2)</f>
        <v>#REF!</v>
      </c>
      <c r="U68" s="281"/>
      <c r="V68" s="281" t="e">
        <f>ROUND(((U67+V67)*21*24*0.000001),2)</f>
        <v>#REF!</v>
      </c>
      <c r="W68" s="281"/>
      <c r="X68" s="281" t="e">
        <f>ROUND(((W67+X67)*30*24*0.000001),2)</f>
        <v>#REF!</v>
      </c>
      <c r="Y68" s="281"/>
      <c r="Z68" s="282" t="e">
        <f>ROUND(((Y67+Z67)*31*24*0.000001),2)</f>
        <v>#REF!</v>
      </c>
      <c r="AA68" s="268" t="e">
        <f>N68+P68+R68+T68+V68+X68+Z68</f>
        <v>#REF!</v>
      </c>
    </row>
    <row r="69" spans="1:27" s="238" customFormat="1" ht="15.75" x14ac:dyDescent="0.2">
      <c r="A69" s="283" t="s">
        <v>159</v>
      </c>
      <c r="B69" s="284"/>
      <c r="C69" s="284"/>
      <c r="D69" s="284"/>
      <c r="E69" s="284"/>
      <c r="F69" s="284"/>
      <c r="G69" s="271"/>
      <c r="H69" s="284"/>
      <c r="I69" s="284"/>
      <c r="J69" s="271"/>
      <c r="K69" s="284"/>
      <c r="L69" s="271"/>
      <c r="M69" s="271"/>
      <c r="N69" s="272"/>
      <c r="O69" s="273"/>
      <c r="P69" s="273"/>
      <c r="Q69" s="273"/>
      <c r="R69" s="273"/>
      <c r="S69" s="273"/>
      <c r="T69" s="273"/>
      <c r="U69" s="273"/>
      <c r="V69" s="273"/>
      <c r="W69" s="273"/>
      <c r="X69" s="273"/>
      <c r="Y69" s="273"/>
      <c r="Z69" s="274"/>
      <c r="AA69" s="275" t="s">
        <v>160</v>
      </c>
    </row>
    <row r="70" spans="1:27" s="238" customFormat="1" ht="15.75" x14ac:dyDescent="0.2">
      <c r="A70" s="177">
        <v>219</v>
      </c>
      <c r="B70" s="177" t="s">
        <v>136</v>
      </c>
      <c r="C70" s="329">
        <v>7</v>
      </c>
      <c r="D70" s="329">
        <v>7</v>
      </c>
      <c r="E70" s="329">
        <v>113</v>
      </c>
      <c r="F70" s="329">
        <v>130</v>
      </c>
      <c r="G70" s="177" t="e">
        <f>E70+((F70-E70)/(65-52.5))*((($E$11+$F$11)/2-$G$11)-52.5)</f>
        <v>#REF!</v>
      </c>
      <c r="H70" s="177">
        <v>1.2</v>
      </c>
      <c r="I70" s="177">
        <v>1</v>
      </c>
      <c r="J70" s="177" t="e">
        <f>H70*C70*G70*I70</f>
        <v>#REF!</v>
      </c>
      <c r="K70" s="177">
        <v>32.36</v>
      </c>
      <c r="L70" s="177">
        <f>(C70+D70)*K70*0.001</f>
        <v>0.45304</v>
      </c>
      <c r="M70" s="177" t="e">
        <f>J70*(($E$4+$F$4-2*$G$4)/($E$11+$F$11-2*$G$11))</f>
        <v>#REF!</v>
      </c>
      <c r="N70" s="320">
        <f>0.00125*1*L70*($E$4+$F$4-2*5)*1000</f>
        <v>57.196300000000008</v>
      </c>
      <c r="O70" s="185" t="e">
        <f>J70*(($E$5+$F$5-2*$G$5)/($E$11+$F$11-2*$G$11))</f>
        <v>#REF!</v>
      </c>
      <c r="P70" s="185">
        <f>0.00125*1*L70*($E$5+$F$5-2*5)*1000</f>
        <v>52.665900000000001</v>
      </c>
      <c r="Q70" s="185" t="e">
        <f>J70*(($E$6+$F$6-2*$G$6)/($E$11+$F$11-2*$G$11))</f>
        <v>#REF!</v>
      </c>
      <c r="R70" s="185">
        <f>0.00125*1*L70*($E$6+$F$6-2*5)*1000</f>
        <v>45.304000000000002</v>
      </c>
      <c r="S70" s="185" t="e">
        <f>J70*(($E$7+$F$7-2*$G$7)/($E$11+$F$11-2*$G$11))</f>
        <v>#REF!</v>
      </c>
      <c r="T70" s="185">
        <f>0.00125*1*L70*($E$7+$F$7-2*5)*1000</f>
        <v>38.508400000000002</v>
      </c>
      <c r="U70" s="185" t="e">
        <f>J70*(($E$8+$F$8-2*$G$8)/($E$11+$F$11-2*$G$11))</f>
        <v>#REF!</v>
      </c>
      <c r="V70" s="185">
        <f>0.00125*1*L70*($E$8+$F$8-2*5)*1000</f>
        <v>43.6051</v>
      </c>
      <c r="W70" s="185" t="e">
        <f>J70*(($E$9+$F$9-2*$G$9)/($E$11+$F$11-2*$G$11))</f>
        <v>#REF!</v>
      </c>
      <c r="X70" s="185">
        <f>0.00125*1*L70*($E$9+$F$9-2*5)*1000</f>
        <v>45.8703</v>
      </c>
      <c r="Y70" s="185" t="e">
        <f>J70*(($E$10+$F$10-2*$G$10)/($E$11+$F$11-2*$G$11))</f>
        <v>#REF!</v>
      </c>
      <c r="Z70" s="251">
        <f>0.00125*1*L70*($E$10+$F$10-2*5)*1000</f>
        <v>52.099600000000002</v>
      </c>
      <c r="AA70" s="252"/>
    </row>
    <row r="71" spans="1:27" s="238" customFormat="1" ht="15.75" x14ac:dyDescent="0.2">
      <c r="A71" s="177">
        <v>219</v>
      </c>
      <c r="B71" s="177" t="s">
        <v>136</v>
      </c>
      <c r="C71" s="329">
        <v>35.4</v>
      </c>
      <c r="D71" s="329">
        <v>35.4</v>
      </c>
      <c r="E71" s="330">
        <v>41</v>
      </c>
      <c r="F71" s="330">
        <v>27</v>
      </c>
      <c r="G71" s="177">
        <f>SUM(E71:F71)</f>
        <v>68</v>
      </c>
      <c r="H71" s="177">
        <v>1.2</v>
      </c>
      <c r="I71" s="177">
        <v>1</v>
      </c>
      <c r="J71" s="177">
        <f t="shared" ref="J71:J78" si="18">H71*C71*G71*I71</f>
        <v>2888.64</v>
      </c>
      <c r="K71" s="177">
        <v>32.36</v>
      </c>
      <c r="L71" s="177">
        <f t="shared" ref="L71:L78" si="19">(C71+D71)*K71*0.001</f>
        <v>2.2910879999999998</v>
      </c>
      <c r="M71" s="177" t="e">
        <f>J71*(($E$4+$F$4-2*$G$4)/($E$11+$F$11-2*$G$11))</f>
        <v>#REF!</v>
      </c>
      <c r="N71" s="320">
        <f>0.00125*1*L71*($E$4+$F$4-2*5)*1000</f>
        <v>289.24985999999996</v>
      </c>
      <c r="O71" s="185" t="e">
        <f>J71*(($E$5+$F$5-2*$G$5)/($E$11+$F$11-2*$G$11))</f>
        <v>#REF!</v>
      </c>
      <c r="P71" s="185">
        <f>0.00125*1*L71*($E$5+$F$5-2*5)*1000</f>
        <v>266.33897999999999</v>
      </c>
      <c r="Q71" s="185" t="e">
        <f>J71*(($E$6+$F$6-2*$G$6)/($E$11+$F$11-2*$G$11))</f>
        <v>#REF!</v>
      </c>
      <c r="R71" s="185">
        <f>0.00125*1*L71*($E$6+$F$6-2*5)*1000</f>
        <v>229.10879999999997</v>
      </c>
      <c r="S71" s="185" t="e">
        <f>J71*(($E$7+$F$7-2*$G$7)/($E$11+$F$11-2*$G$11))</f>
        <v>#REF!</v>
      </c>
      <c r="T71" s="185">
        <f>0.00125*1*L71*($E$7+$F$7-2*5)*1000</f>
        <v>194.74248</v>
      </c>
      <c r="U71" s="185" t="e">
        <f>J71*(($E$8+$F$8-2*$G$8)/($E$11+$F$11-2*$G$11))</f>
        <v>#REF!</v>
      </c>
      <c r="V71" s="185">
        <f>0.00125*1*L71*($E$8+$F$8-2*5)*1000</f>
        <v>220.51721999999998</v>
      </c>
      <c r="W71" s="185" t="e">
        <f>J71*(($E$9+$F$9-2*$G$9)/($E$11+$F$11-2*$G$11))</f>
        <v>#REF!</v>
      </c>
      <c r="X71" s="185">
        <f>0.00125*1*L71*($E$9+$F$9-2*5)*1000</f>
        <v>231.97265999999996</v>
      </c>
      <c r="Y71" s="185" t="e">
        <f>J71*(($E$10+$F$10-2*$G$10)/($E$11+$F$11-2*$G$11))</f>
        <v>#REF!</v>
      </c>
      <c r="Z71" s="251">
        <f>0.00125*1*L71*($E$10+$F$10-2*5)*1000</f>
        <v>263.47511999999995</v>
      </c>
      <c r="AA71" s="252"/>
    </row>
    <row r="72" spans="1:27" s="238" customFormat="1" ht="15.75" x14ac:dyDescent="0.2">
      <c r="A72" s="177">
        <v>159</v>
      </c>
      <c r="B72" s="177" t="s">
        <v>136</v>
      </c>
      <c r="C72" s="329">
        <v>163.4</v>
      </c>
      <c r="D72" s="329">
        <v>163.4</v>
      </c>
      <c r="E72" s="329">
        <v>94</v>
      </c>
      <c r="F72" s="329">
        <v>107</v>
      </c>
      <c r="G72" s="177" t="e">
        <f>E72+((F72-E72)/(65-52.5))*((($E$11+$F$11)/2-$G$11)-52.5)</f>
        <v>#REF!</v>
      </c>
      <c r="H72" s="177">
        <v>1.2</v>
      </c>
      <c r="I72" s="177">
        <v>1</v>
      </c>
      <c r="J72" s="177" t="e">
        <f t="shared" si="18"/>
        <v>#REF!</v>
      </c>
      <c r="K72" s="177">
        <v>17.670000000000002</v>
      </c>
      <c r="L72" s="177">
        <f t="shared" si="19"/>
        <v>5.7745560000000005</v>
      </c>
      <c r="M72" s="177" t="e">
        <f>J72*(($E$4+$F$4-2*$G$4)/($E$11+$F$11-2*$G$11))</f>
        <v>#REF!</v>
      </c>
      <c r="N72" s="320">
        <f>0.00125*1*L72*($E$4+$F$4-2*5)*1000</f>
        <v>729.0376950000001</v>
      </c>
      <c r="O72" s="185" t="e">
        <f>J72*(($E$5+$F$5-2*$G$5)/($E$11+$F$11-2*$G$11))</f>
        <v>#REF!</v>
      </c>
      <c r="P72" s="185">
        <f>0.00125*1*L72*($E$5+$F$5-2*5)*1000</f>
        <v>671.29213500000003</v>
      </c>
      <c r="Q72" s="185" t="e">
        <f>J72*(($E$6+$F$6-2*$G$6)/($E$11+$F$11-2*$G$11))</f>
        <v>#REF!</v>
      </c>
      <c r="R72" s="185">
        <f>0.00125*1*L72*($E$6+$F$6-2*5)*1000</f>
        <v>577.45560000000012</v>
      </c>
      <c r="S72" s="185" t="e">
        <f>J72*(($E$7+$F$7-2*$G$7)/($E$11+$F$11-2*$G$11))</f>
        <v>#REF!</v>
      </c>
      <c r="T72" s="185">
        <f>0.00125*1*L72*($E$7+$F$7-2*5)*1000</f>
        <v>490.83726000000007</v>
      </c>
      <c r="U72" s="185" t="e">
        <f>J72*(($E$8+$F$8-2*$G$8)/($E$11+$F$11-2*$G$11))</f>
        <v>#REF!</v>
      </c>
      <c r="V72" s="185">
        <f>0.00125*1*L72*($E$8+$F$8-2*5)*1000</f>
        <v>555.80101500000012</v>
      </c>
      <c r="W72" s="185" t="e">
        <f>J72*(($E$9+$F$9-2*$G$9)/($E$11+$F$11-2*$G$11))</f>
        <v>#REF!</v>
      </c>
      <c r="X72" s="185">
        <f>0.00125*1*L72*($E$9+$F$9-2*5)*1000</f>
        <v>584.67379500000004</v>
      </c>
      <c r="Y72" s="185" t="e">
        <f>J72*(($E$10+$F$10-2*$G$10)/($E$11+$F$11-2*$G$11))</f>
        <v>#REF!</v>
      </c>
      <c r="Z72" s="251">
        <f>0.00125*1*L72*($E$10+$F$10-2*5)*1000</f>
        <v>664.07394000000011</v>
      </c>
      <c r="AA72" s="252"/>
    </row>
    <row r="73" spans="1:27" s="238" customFormat="1" ht="15.75" x14ac:dyDescent="0.2">
      <c r="A73" s="177">
        <v>159</v>
      </c>
      <c r="B73" s="177" t="s">
        <v>136</v>
      </c>
      <c r="C73" s="329">
        <v>429.55</v>
      </c>
      <c r="D73" s="329">
        <v>429.55</v>
      </c>
      <c r="E73" s="330">
        <v>33</v>
      </c>
      <c r="F73" s="330">
        <v>22</v>
      </c>
      <c r="G73" s="177">
        <f>SUM(E73:F73)</f>
        <v>55</v>
      </c>
      <c r="H73" s="177">
        <v>1.2</v>
      </c>
      <c r="I73" s="177">
        <v>1</v>
      </c>
      <c r="J73" s="177">
        <f t="shared" si="18"/>
        <v>28350.300000000003</v>
      </c>
      <c r="K73" s="177">
        <v>17.670000000000002</v>
      </c>
      <c r="L73" s="177">
        <f t="shared" si="19"/>
        <v>15.180297000000003</v>
      </c>
      <c r="M73" s="177" t="e">
        <f t="shared" ref="M73:M78" si="20">J73*(($E$4+$F$4-2*$G$4)/($E$11+$F$11-2*$G$11))</f>
        <v>#REF!</v>
      </c>
      <c r="N73" s="320">
        <f t="shared" ref="N73:N78" si="21">0.00125*1*L73*($E$4+$F$4-2*5)*1000</f>
        <v>1916.5124962500004</v>
      </c>
      <c r="O73" s="185" t="e">
        <f t="shared" ref="O73:O78" si="22">J73*(($E$5+$F$5-2*$G$5)/($E$11+$F$11-2*$G$11))</f>
        <v>#REF!</v>
      </c>
      <c r="P73" s="185">
        <f t="shared" ref="P73:P78" si="23">0.00125*1*L73*($E$5+$F$5-2*5)*1000</f>
        <v>1764.7095262500004</v>
      </c>
      <c r="Q73" s="185" t="e">
        <f t="shared" ref="Q73:Q78" si="24">J73*(($E$6+$F$6-2*$G$6)/($E$11+$F$11-2*$G$11))</f>
        <v>#REF!</v>
      </c>
      <c r="R73" s="185">
        <f t="shared" ref="R73:R78" si="25">0.00125*1*L73*($E$6+$F$6-2*5)*1000</f>
        <v>1518.0297000000005</v>
      </c>
      <c r="S73" s="185" t="e">
        <f t="shared" ref="S73:S78" si="26">J73*(($E$7+$F$7-2*$G$7)/($E$11+$F$11-2*$G$11))</f>
        <v>#REF!</v>
      </c>
      <c r="T73" s="185">
        <f t="shared" ref="T73:T78" si="27">0.00125*1*L73*($E$7+$F$7-2*5)*1000</f>
        <v>1290.3252450000002</v>
      </c>
      <c r="U73" s="185" t="e">
        <f t="shared" ref="U73:U78" si="28">J73*(($E$8+$F$8-2*$G$8)/($E$11+$F$11-2*$G$11))</f>
        <v>#REF!</v>
      </c>
      <c r="V73" s="185">
        <f t="shared" ref="V73:V78" si="29">0.00125*1*L73*($E$8+$F$8-2*5)*1000</f>
        <v>1461.1035862500003</v>
      </c>
      <c r="W73" s="185" t="e">
        <f t="shared" ref="W73:W78" si="30">J73*(($E$9+$F$9-2*$G$9)/($E$11+$F$11-2*$G$11))</f>
        <v>#REF!</v>
      </c>
      <c r="X73" s="185">
        <f t="shared" ref="X73:X78" si="31">0.00125*1*L73*($E$9+$F$9-2*5)*1000</f>
        <v>1537.0050712500004</v>
      </c>
      <c r="Y73" s="185" t="e">
        <f t="shared" ref="Y73:Y78" si="32">J73*(($E$10+$F$10-2*$G$10)/($E$11+$F$11-2*$G$11))</f>
        <v>#REF!</v>
      </c>
      <c r="Z73" s="251">
        <f t="shared" ref="Z73:Z78" si="33">0.00125*1*L73*($E$10+$F$10-2*5)*1000</f>
        <v>1745.7341550000006</v>
      </c>
      <c r="AA73" s="252"/>
    </row>
    <row r="74" spans="1:27" s="238" customFormat="1" ht="15.75" x14ac:dyDescent="0.2">
      <c r="A74" s="177">
        <v>108</v>
      </c>
      <c r="B74" s="177" t="s">
        <v>136</v>
      </c>
      <c r="C74" s="329">
        <v>659.75</v>
      </c>
      <c r="D74" s="329">
        <v>659.75</v>
      </c>
      <c r="E74" s="329">
        <v>76</v>
      </c>
      <c r="F74" s="329">
        <v>88</v>
      </c>
      <c r="G74" s="177" t="e">
        <f>E74+((F74-E74)/(65-52.5))*((($E$11+$F$11)/2-$G$11)-52.5)</f>
        <v>#REF!</v>
      </c>
      <c r="H74" s="177">
        <v>1.2</v>
      </c>
      <c r="I74" s="177">
        <v>1</v>
      </c>
      <c r="J74" s="177" t="e">
        <f t="shared" si="18"/>
        <v>#REF!</v>
      </c>
      <c r="K74" s="177">
        <v>7.8540000000000001</v>
      </c>
      <c r="L74" s="177">
        <f t="shared" si="19"/>
        <v>10.363353000000002</v>
      </c>
      <c r="M74" s="177" t="e">
        <f t="shared" si="20"/>
        <v>#REF!</v>
      </c>
      <c r="N74" s="320">
        <f t="shared" si="21"/>
        <v>1308.3733162500002</v>
      </c>
      <c r="O74" s="185" t="e">
        <f t="shared" si="22"/>
        <v>#REF!</v>
      </c>
      <c r="P74" s="185">
        <f t="shared" si="23"/>
        <v>1204.7397862500002</v>
      </c>
      <c r="Q74" s="185" t="e">
        <f t="shared" si="24"/>
        <v>#REF!</v>
      </c>
      <c r="R74" s="185">
        <f t="shared" si="25"/>
        <v>1036.3353000000002</v>
      </c>
      <c r="S74" s="185" t="e">
        <f t="shared" si="26"/>
        <v>#REF!</v>
      </c>
      <c r="T74" s="185">
        <f t="shared" si="27"/>
        <v>880.88500500000009</v>
      </c>
      <c r="U74" s="185" t="e">
        <f t="shared" si="28"/>
        <v>#REF!</v>
      </c>
      <c r="V74" s="185">
        <f t="shared" si="29"/>
        <v>997.47272625000016</v>
      </c>
      <c r="W74" s="185" t="e">
        <f t="shared" si="30"/>
        <v>#REF!</v>
      </c>
      <c r="X74" s="185">
        <f t="shared" si="31"/>
        <v>1049.2894912500001</v>
      </c>
      <c r="Y74" s="185" t="e">
        <f t="shared" si="32"/>
        <v>#REF!</v>
      </c>
      <c r="Z74" s="251">
        <f t="shared" si="33"/>
        <v>1191.7855950000003</v>
      </c>
      <c r="AA74" s="252"/>
    </row>
    <row r="75" spans="1:27" s="238" customFormat="1" ht="15.75" x14ac:dyDescent="0.2">
      <c r="A75" s="177">
        <v>108</v>
      </c>
      <c r="B75" s="177" t="s">
        <v>136</v>
      </c>
      <c r="C75" s="329">
        <v>367.7</v>
      </c>
      <c r="D75" s="329">
        <v>367.7</v>
      </c>
      <c r="E75" s="330">
        <v>28</v>
      </c>
      <c r="F75" s="330">
        <v>19</v>
      </c>
      <c r="G75" s="177">
        <f>SUM(E75:F75)</f>
        <v>47</v>
      </c>
      <c r="H75" s="177">
        <v>1.2</v>
      </c>
      <c r="I75" s="177">
        <v>1</v>
      </c>
      <c r="J75" s="177">
        <f t="shared" si="18"/>
        <v>20738.28</v>
      </c>
      <c r="K75" s="177">
        <v>7.8540000000000001</v>
      </c>
      <c r="L75" s="177">
        <f t="shared" si="19"/>
        <v>5.7758316000000001</v>
      </c>
      <c r="M75" s="177" t="e">
        <f t="shared" si="20"/>
        <v>#REF!</v>
      </c>
      <c r="N75" s="320">
        <f t="shared" si="21"/>
        <v>729.19873949999999</v>
      </c>
      <c r="O75" s="185" t="e">
        <f t="shared" si="22"/>
        <v>#REF!</v>
      </c>
      <c r="P75" s="185">
        <f t="shared" si="23"/>
        <v>671.44042349999995</v>
      </c>
      <c r="Q75" s="185" t="e">
        <f t="shared" si="24"/>
        <v>#REF!</v>
      </c>
      <c r="R75" s="185">
        <f t="shared" si="25"/>
        <v>577.58316000000013</v>
      </c>
      <c r="S75" s="185" t="e">
        <f t="shared" si="26"/>
        <v>#REF!</v>
      </c>
      <c r="T75" s="185">
        <f t="shared" si="27"/>
        <v>490.94568600000002</v>
      </c>
      <c r="U75" s="185" t="e">
        <f t="shared" si="28"/>
        <v>#REF!</v>
      </c>
      <c r="V75" s="185">
        <f t="shared" si="29"/>
        <v>555.92379149999999</v>
      </c>
      <c r="W75" s="185" t="e">
        <f t="shared" si="30"/>
        <v>#REF!</v>
      </c>
      <c r="X75" s="185">
        <f t="shared" si="31"/>
        <v>584.80294949999995</v>
      </c>
      <c r="Y75" s="185" t="e">
        <f t="shared" si="32"/>
        <v>#REF!</v>
      </c>
      <c r="Z75" s="251">
        <f t="shared" si="33"/>
        <v>664.22063400000013</v>
      </c>
      <c r="AA75" s="252"/>
    </row>
    <row r="76" spans="1:27" s="238" customFormat="1" ht="15.75" x14ac:dyDescent="0.2">
      <c r="A76" s="177">
        <v>89</v>
      </c>
      <c r="B76" s="177" t="s">
        <v>136</v>
      </c>
      <c r="C76" s="329">
        <v>71.760000000000005</v>
      </c>
      <c r="D76" s="329">
        <v>71.760000000000005</v>
      </c>
      <c r="E76" s="329">
        <v>69</v>
      </c>
      <c r="F76" s="329">
        <v>80</v>
      </c>
      <c r="G76" s="177" t="e">
        <f>E76+((F76-E76)/(65-52.5))*((($E$11+$F$11)/2-$G$11)-52.5)</f>
        <v>#REF!</v>
      </c>
      <c r="H76" s="177">
        <v>1.2</v>
      </c>
      <c r="I76" s="177">
        <v>1</v>
      </c>
      <c r="J76" s="177" t="e">
        <f t="shared" si="18"/>
        <v>#REF!</v>
      </c>
      <c r="K76" s="177">
        <v>5.1529999999999996</v>
      </c>
      <c r="L76" s="177">
        <f t="shared" si="19"/>
        <v>0.73955855999999998</v>
      </c>
      <c r="M76" s="177" t="e">
        <f t="shared" si="20"/>
        <v>#REF!</v>
      </c>
      <c r="N76" s="320">
        <f t="shared" si="21"/>
        <v>93.369268199999993</v>
      </c>
      <c r="O76" s="185" t="e">
        <f t="shared" si="22"/>
        <v>#REF!</v>
      </c>
      <c r="P76" s="185">
        <f t="shared" si="23"/>
        <v>85.973682600000004</v>
      </c>
      <c r="Q76" s="185" t="e">
        <f t="shared" si="24"/>
        <v>#REF!</v>
      </c>
      <c r="R76" s="185">
        <f t="shared" si="25"/>
        <v>73.955855999999997</v>
      </c>
      <c r="S76" s="185" t="e">
        <f t="shared" si="26"/>
        <v>#REF!</v>
      </c>
      <c r="T76" s="185">
        <f t="shared" si="27"/>
        <v>62.862477599999991</v>
      </c>
      <c r="U76" s="185" t="e">
        <f t="shared" si="28"/>
        <v>#REF!</v>
      </c>
      <c r="V76" s="185">
        <f t="shared" si="29"/>
        <v>71.182511399999996</v>
      </c>
      <c r="W76" s="185" t="e">
        <f t="shared" si="30"/>
        <v>#REF!</v>
      </c>
      <c r="X76" s="185">
        <f t="shared" si="31"/>
        <v>74.880304199999998</v>
      </c>
      <c r="Y76" s="185" t="e">
        <f t="shared" si="32"/>
        <v>#REF!</v>
      </c>
      <c r="Z76" s="251">
        <f t="shared" si="33"/>
        <v>85.049234399999989</v>
      </c>
      <c r="AA76" s="252"/>
    </row>
    <row r="77" spans="1:27" s="238" customFormat="1" ht="15.75" x14ac:dyDescent="0.2">
      <c r="A77" s="177">
        <v>89</v>
      </c>
      <c r="B77" s="177" t="s">
        <v>136</v>
      </c>
      <c r="C77" s="331">
        <v>121.62</v>
      </c>
      <c r="D77" s="331">
        <v>121.62</v>
      </c>
      <c r="E77" s="332">
        <v>25</v>
      </c>
      <c r="F77" s="332">
        <v>17</v>
      </c>
      <c r="G77" s="253">
        <f>SUM(E77:F77)</f>
        <v>42</v>
      </c>
      <c r="H77" s="177">
        <v>1.2</v>
      </c>
      <c r="I77" s="177">
        <v>1</v>
      </c>
      <c r="J77" s="177">
        <f t="shared" si="18"/>
        <v>6129.6479999999992</v>
      </c>
      <c r="K77" s="177">
        <v>5.1529999999999996</v>
      </c>
      <c r="L77" s="177">
        <f t="shared" si="19"/>
        <v>1.25341572</v>
      </c>
      <c r="M77" s="177" t="e">
        <f t="shared" si="20"/>
        <v>#REF!</v>
      </c>
      <c r="N77" s="320">
        <f t="shared" si="21"/>
        <v>158.24373464999999</v>
      </c>
      <c r="O77" s="185" t="e">
        <f t="shared" si="22"/>
        <v>#REF!</v>
      </c>
      <c r="P77" s="185">
        <f t="shared" si="23"/>
        <v>145.70957744999998</v>
      </c>
      <c r="Q77" s="185" t="e">
        <f t="shared" si="24"/>
        <v>#REF!</v>
      </c>
      <c r="R77" s="185">
        <f t="shared" si="25"/>
        <v>125.34157200000001</v>
      </c>
      <c r="S77" s="185" t="e">
        <f t="shared" si="26"/>
        <v>#REF!</v>
      </c>
      <c r="T77" s="185">
        <f t="shared" si="27"/>
        <v>106.5403362</v>
      </c>
      <c r="U77" s="185" t="e">
        <f t="shared" si="28"/>
        <v>#REF!</v>
      </c>
      <c r="V77" s="185">
        <f t="shared" si="29"/>
        <v>120.64126305000001</v>
      </c>
      <c r="W77" s="185" t="e">
        <f t="shared" si="30"/>
        <v>#REF!</v>
      </c>
      <c r="X77" s="185">
        <f t="shared" si="31"/>
        <v>126.90834165000001</v>
      </c>
      <c r="Y77" s="185" t="e">
        <f t="shared" si="32"/>
        <v>#REF!</v>
      </c>
      <c r="Z77" s="251">
        <f t="shared" si="33"/>
        <v>144.14280779999999</v>
      </c>
      <c r="AA77" s="254"/>
    </row>
    <row r="78" spans="1:27" s="238" customFormat="1" ht="16.5" thickBot="1" x14ac:dyDescent="0.25">
      <c r="A78" s="253">
        <v>57</v>
      </c>
      <c r="B78" s="177" t="s">
        <v>136</v>
      </c>
      <c r="C78" s="331">
        <v>38.01</v>
      </c>
      <c r="D78" s="331">
        <v>38.01</v>
      </c>
      <c r="E78" s="331">
        <v>56</v>
      </c>
      <c r="F78" s="331">
        <v>65</v>
      </c>
      <c r="G78" s="177" t="e">
        <f>E78+((F78-E78)/(65-52.5))*((($E$11+$F$11)/2-$G$11)-52.5)</f>
        <v>#REF!</v>
      </c>
      <c r="H78" s="177">
        <v>1.2</v>
      </c>
      <c r="I78" s="177">
        <v>1</v>
      </c>
      <c r="J78" s="177" t="e">
        <f t="shared" si="18"/>
        <v>#REF!</v>
      </c>
      <c r="K78" s="253">
        <v>1.9630000000000001</v>
      </c>
      <c r="L78" s="177">
        <f t="shared" si="19"/>
        <v>0.14922726</v>
      </c>
      <c r="M78" s="177" t="e">
        <f t="shared" si="20"/>
        <v>#REF!</v>
      </c>
      <c r="N78" s="320">
        <f t="shared" si="21"/>
        <v>18.839941575000001</v>
      </c>
      <c r="O78" s="185" t="e">
        <f t="shared" si="22"/>
        <v>#REF!</v>
      </c>
      <c r="P78" s="185">
        <f t="shared" si="23"/>
        <v>17.347668975000001</v>
      </c>
      <c r="Q78" s="185" t="e">
        <f t="shared" si="24"/>
        <v>#REF!</v>
      </c>
      <c r="R78" s="185">
        <f t="shared" si="25"/>
        <v>14.922726000000001</v>
      </c>
      <c r="S78" s="185" t="e">
        <f t="shared" si="26"/>
        <v>#REF!</v>
      </c>
      <c r="T78" s="185">
        <f t="shared" si="27"/>
        <v>12.684317099999999</v>
      </c>
      <c r="U78" s="185" t="e">
        <f t="shared" si="28"/>
        <v>#REF!</v>
      </c>
      <c r="V78" s="185">
        <f t="shared" si="29"/>
        <v>14.363123775</v>
      </c>
      <c r="W78" s="185" t="e">
        <f t="shared" si="30"/>
        <v>#REF!</v>
      </c>
      <c r="X78" s="185">
        <f t="shared" si="31"/>
        <v>15.109260075</v>
      </c>
      <c r="Y78" s="185" t="e">
        <f t="shared" si="32"/>
        <v>#REF!</v>
      </c>
      <c r="Z78" s="251">
        <f t="shared" si="33"/>
        <v>17.1611349</v>
      </c>
      <c r="AA78" s="254"/>
    </row>
    <row r="79" spans="1:27" s="238" customFormat="1" ht="15.75" x14ac:dyDescent="0.2">
      <c r="A79" s="256" t="s">
        <v>139</v>
      </c>
      <c r="B79" s="258"/>
      <c r="C79" s="257">
        <f>SUM(C70:C78)</f>
        <v>1894.1899999999998</v>
      </c>
      <c r="D79" s="257">
        <f>SUM(D70:D78)</f>
        <v>1894.1899999999998</v>
      </c>
      <c r="E79" s="258"/>
      <c r="F79" s="258"/>
      <c r="G79" s="258"/>
      <c r="H79" s="258"/>
      <c r="I79" s="258"/>
      <c r="J79" s="258"/>
      <c r="K79" s="258"/>
      <c r="L79" s="258"/>
      <c r="M79" s="258" t="e">
        <f t="shared" ref="M79:Z79" si="34">SUM(M70:M78)</f>
        <v>#REF!</v>
      </c>
      <c r="N79" s="259">
        <f t="shared" si="34"/>
        <v>5300.0213514250008</v>
      </c>
      <c r="O79" s="260" t="e">
        <f t="shared" si="34"/>
        <v>#REF!</v>
      </c>
      <c r="P79" s="260">
        <f t="shared" si="34"/>
        <v>4880.2176800250008</v>
      </c>
      <c r="Q79" s="260" t="e">
        <f t="shared" si="34"/>
        <v>#REF!</v>
      </c>
      <c r="R79" s="260">
        <f t="shared" si="34"/>
        <v>4198.0367140000008</v>
      </c>
      <c r="S79" s="260" t="e">
        <f t="shared" si="34"/>
        <v>#REF!</v>
      </c>
      <c r="T79" s="260">
        <f t="shared" si="34"/>
        <v>3568.3312069000008</v>
      </c>
      <c r="U79" s="260" t="e">
        <f t="shared" si="34"/>
        <v>#REF!</v>
      </c>
      <c r="V79" s="260">
        <f t="shared" si="34"/>
        <v>4040.6103372250004</v>
      </c>
      <c r="W79" s="260" t="e">
        <f t="shared" si="34"/>
        <v>#REF!</v>
      </c>
      <c r="X79" s="260">
        <f t="shared" si="34"/>
        <v>4250.5121729250004</v>
      </c>
      <c r="Y79" s="260" t="e">
        <f t="shared" si="34"/>
        <v>#REF!</v>
      </c>
      <c r="Z79" s="261">
        <f t="shared" si="34"/>
        <v>4827.7422211000021</v>
      </c>
      <c r="AA79" s="249"/>
    </row>
    <row r="80" spans="1:27" s="238" customFormat="1" ht="16.5" thickBot="1" x14ac:dyDescent="0.3">
      <c r="A80" s="277"/>
      <c r="B80" s="265" t="s">
        <v>140</v>
      </c>
      <c r="C80" s="265">
        <v>0</v>
      </c>
      <c r="D80" s="265">
        <v>0</v>
      </c>
      <c r="E80" s="266"/>
      <c r="F80" s="266"/>
      <c r="G80" s="266"/>
      <c r="H80" s="266"/>
      <c r="I80" s="266"/>
      <c r="J80" s="266"/>
      <c r="K80" s="266"/>
      <c r="L80" s="266"/>
      <c r="M80" s="266"/>
      <c r="N80" s="267" t="e">
        <f>ROUND(((M79+N79)*31*24*0.000001),2)</f>
        <v>#REF!</v>
      </c>
      <c r="O80" s="281"/>
      <c r="P80" s="281" t="e">
        <f>ROUND(((O79+P79)*28*24*0.000001),2)</f>
        <v>#REF!</v>
      </c>
      <c r="Q80" s="281"/>
      <c r="R80" s="281" t="e">
        <f>ROUND(((Q79+R79)*31*24*0.000001),2)</f>
        <v>#REF!</v>
      </c>
      <c r="S80" s="281"/>
      <c r="T80" s="281" t="e">
        <f>ROUND(((S79+T79)*14*24*0.000001),2)</f>
        <v>#REF!</v>
      </c>
      <c r="U80" s="281"/>
      <c r="V80" s="281" t="e">
        <f>ROUND(((U79+V79)*21*24*0.000001),2)</f>
        <v>#REF!</v>
      </c>
      <c r="W80" s="281"/>
      <c r="X80" s="281" t="e">
        <f>ROUND(((W79+X79)*30*24*0.000001),2)</f>
        <v>#REF!</v>
      </c>
      <c r="Y80" s="281"/>
      <c r="Z80" s="282" t="e">
        <f>ROUND(((Y79+Z79)*31*24*0.000001),2)</f>
        <v>#REF!</v>
      </c>
      <c r="AA80" s="268" t="e">
        <f>N80+P80+R80+T80+V80+X80+Z80</f>
        <v>#REF!</v>
      </c>
    </row>
    <row r="81" spans="1:37" s="238" customFormat="1" ht="15.75" x14ac:dyDescent="0.25">
      <c r="A81" s="516" t="s">
        <v>176</v>
      </c>
      <c r="B81" s="517"/>
      <c r="C81" s="517"/>
      <c r="D81" s="517"/>
      <c r="E81" s="517"/>
      <c r="F81" s="518"/>
      <c r="G81" s="177"/>
      <c r="H81" s="177"/>
      <c r="I81" s="177"/>
      <c r="J81" s="177"/>
      <c r="K81" s="177"/>
      <c r="L81" s="177"/>
      <c r="M81" s="177"/>
      <c r="N81" s="308"/>
      <c r="O81" s="309"/>
      <c r="P81" s="309"/>
      <c r="Q81" s="309"/>
      <c r="R81" s="309"/>
      <c r="S81" s="309"/>
      <c r="T81" s="309"/>
      <c r="U81" s="309"/>
      <c r="V81" s="309"/>
      <c r="W81" s="309"/>
      <c r="X81" s="309"/>
      <c r="Y81" s="309"/>
      <c r="Z81" s="310"/>
      <c r="AA81" s="254"/>
    </row>
    <row r="82" spans="1:37" s="238" customFormat="1" ht="15.75" x14ac:dyDescent="0.2">
      <c r="A82" s="177">
        <v>57</v>
      </c>
      <c r="B82" s="177" t="s">
        <v>137</v>
      </c>
      <c r="C82" s="177">
        <v>37</v>
      </c>
      <c r="D82" s="177">
        <v>37</v>
      </c>
      <c r="E82" s="177">
        <v>38</v>
      </c>
      <c r="F82" s="177">
        <v>29</v>
      </c>
      <c r="G82" s="177">
        <f>SUM(E82:F82)</f>
        <v>67</v>
      </c>
      <c r="H82" s="177">
        <v>1.1499999999999999</v>
      </c>
      <c r="I82" s="177">
        <v>0.6</v>
      </c>
      <c r="J82" s="177">
        <f>H82*C82*G82*I82</f>
        <v>1710.51</v>
      </c>
      <c r="K82" s="177">
        <v>1.9630000000000001</v>
      </c>
      <c r="L82" s="177">
        <f>(C82+D82)*K82*0.001</f>
        <v>0.145262</v>
      </c>
      <c r="M82" s="177" t="e">
        <f>J82*(($E$4+$F$4-2*$G$4)/($E$11+$F$11-2*$G$11))</f>
        <v>#REF!</v>
      </c>
      <c r="N82" s="320">
        <f>0.00125*1*L82*($E$4+$F$4-2*5)*1000</f>
        <v>18.3393275</v>
      </c>
      <c r="O82" s="185" t="e">
        <f>J82*(($E$5+$F$5-2*$G$5)/($E$11+$F$11-2*$G$11))</f>
        <v>#REF!</v>
      </c>
      <c r="P82" s="185">
        <f>0.00125*1*L82*($E$5+$F$5-2*5)*1000</f>
        <v>16.8867075</v>
      </c>
      <c r="Q82" s="185" t="e">
        <f>J82*(($E$6+$F$6-2*$G$6)/($E$11+$F$11-2*$G$11))</f>
        <v>#REF!</v>
      </c>
      <c r="R82" s="185">
        <f>0.00125*1*L82*($E$6+$F$6-2*5)*1000</f>
        <v>14.526199999999999</v>
      </c>
      <c r="S82" s="185" t="e">
        <f>J82*(($E$7+$F$7-2*$G$7)/($E$11+$F$11-2*$G$11))</f>
        <v>#REF!</v>
      </c>
      <c r="T82" s="185">
        <f>0.00125*1*L82*($E$7+$F$7-2*5)*1000</f>
        <v>12.34727</v>
      </c>
      <c r="U82" s="185" t="e">
        <f>J82*(($E$8+$F$8-2*$G$8)/($E$11+$F$11-2*$G$11))</f>
        <v>#REF!</v>
      </c>
      <c r="V82" s="185">
        <f>0.00125*1*L82*($E$8+$F$8-2*5)*1000</f>
        <v>13.981467499999999</v>
      </c>
      <c r="W82" s="185" t="e">
        <f>J82*(($E$9+$F$9-2*$G$9)/($E$11+$F$11-2*$G$11))</f>
        <v>#REF!</v>
      </c>
      <c r="X82" s="185">
        <f>0.00125*1*L82*($E$9+$F$9-2*5)*1000</f>
        <v>14.707777500000001</v>
      </c>
      <c r="Y82" s="185" t="e">
        <f>J82*(($E$10+$F$10-2*$G$10)/($E$11+$F$11-2*$G$11))</f>
        <v>#REF!</v>
      </c>
      <c r="Z82" s="251">
        <f>0.00125*1*L82*($E$10+$F$10-2*5)*1000</f>
        <v>16.705129999999997</v>
      </c>
      <c r="AA82" s="252"/>
    </row>
    <row r="83" spans="1:37" s="238" customFormat="1" ht="16.5" thickBot="1" x14ac:dyDescent="0.3">
      <c r="A83" s="546"/>
      <c r="B83" s="517"/>
      <c r="C83" s="517"/>
      <c r="D83" s="517"/>
      <c r="E83" s="517"/>
      <c r="F83" s="518"/>
      <c r="G83" s="177"/>
      <c r="H83" s="177"/>
      <c r="I83" s="177"/>
      <c r="J83" s="177"/>
      <c r="K83" s="177"/>
      <c r="L83" s="177"/>
      <c r="M83" s="177"/>
      <c r="N83" s="267" t="e">
        <f>ROUND(((M82+N82)*31*24*0.000001),2)</f>
        <v>#REF!</v>
      </c>
      <c r="O83" s="281"/>
      <c r="P83" s="281" t="e">
        <f>ROUND(((O82+P82)*28*24*0.000001),2)</f>
        <v>#REF!</v>
      </c>
      <c r="Q83" s="281"/>
      <c r="R83" s="281" t="e">
        <f>ROUND(((Q82+R82)*31*24*0.000001),2)</f>
        <v>#REF!</v>
      </c>
      <c r="S83" s="281"/>
      <c r="T83" s="281" t="e">
        <f>ROUND(((S82+T82)*14*24*0.000001),2)</f>
        <v>#REF!</v>
      </c>
      <c r="U83" s="281"/>
      <c r="V83" s="281" t="e">
        <f>ROUND(((U82+V82)*21*24*0.000001),2)</f>
        <v>#REF!</v>
      </c>
      <c r="W83" s="281"/>
      <c r="X83" s="281" t="e">
        <f>ROUND(((W82+X82)*30*24*0.000001),2)</f>
        <v>#REF!</v>
      </c>
      <c r="Y83" s="281"/>
      <c r="Z83" s="282" t="e">
        <f>ROUND(((Y82+Z82)*31*24*0.000001),2)</f>
        <v>#REF!</v>
      </c>
      <c r="AA83" s="268" t="e">
        <f>N83+P83+R83+T83+V83+X83+Z83</f>
        <v>#REF!</v>
      </c>
    </row>
    <row r="84" spans="1:37" s="238" customFormat="1" ht="15.75" x14ac:dyDescent="0.2">
      <c r="A84" s="177"/>
      <c r="B84" s="177"/>
      <c r="C84" s="177"/>
      <c r="D84" s="177"/>
      <c r="E84" s="177"/>
      <c r="F84" s="177"/>
      <c r="G84" s="177"/>
      <c r="H84" s="177"/>
      <c r="I84" s="177"/>
      <c r="J84" s="177"/>
      <c r="K84" s="177"/>
      <c r="L84" s="177"/>
      <c r="M84" s="177"/>
      <c r="N84" s="177"/>
      <c r="O84" s="177"/>
      <c r="P84" s="177"/>
      <c r="Q84" s="177"/>
      <c r="R84" s="177"/>
      <c r="S84" s="177"/>
      <c r="T84" s="177"/>
      <c r="U84" s="177"/>
      <c r="V84" s="177"/>
      <c r="W84" s="177"/>
      <c r="X84" s="177"/>
      <c r="Y84" s="177"/>
      <c r="Z84" s="320"/>
      <c r="AA84" s="252"/>
    </row>
    <row r="85" spans="1:37" s="238" customFormat="1" ht="19.5" thickBot="1" x14ac:dyDescent="0.25">
      <c r="A85" s="311" t="s">
        <v>166</v>
      </c>
      <c r="B85" s="312"/>
      <c r="C85" s="312">
        <f>C67+C79+C82</f>
        <v>3413.39</v>
      </c>
      <c r="D85" s="312">
        <f>D67+D79+D82</f>
        <v>3413.39</v>
      </c>
      <c r="E85" s="312"/>
      <c r="F85" s="312"/>
      <c r="G85" s="312"/>
      <c r="H85" s="312"/>
      <c r="I85" s="312"/>
      <c r="J85" s="312"/>
      <c r="K85" s="312"/>
      <c r="L85" s="312"/>
      <c r="M85" s="313"/>
      <c r="N85" s="313"/>
      <c r="O85" s="313"/>
      <c r="P85" s="313"/>
      <c r="Q85" s="313"/>
      <c r="R85" s="313"/>
      <c r="S85" s="313"/>
      <c r="T85" s="313"/>
      <c r="U85" s="313"/>
      <c r="V85" s="313"/>
      <c r="W85" s="313"/>
      <c r="X85" s="313"/>
      <c r="Y85" s="313"/>
      <c r="Z85" s="314"/>
      <c r="AA85" s="315" t="e">
        <f>AA68+AA80+AA83</f>
        <v>#REF!</v>
      </c>
    </row>
    <row r="86" spans="1:37" s="316" customFormat="1" ht="13.5" thickBot="1" x14ac:dyDescent="0.25">
      <c r="B86" s="317" t="s">
        <v>140</v>
      </c>
      <c r="C86" s="316">
        <v>0</v>
      </c>
      <c r="AK86" s="318"/>
    </row>
    <row r="87" spans="1:37" s="316" customFormat="1" x14ac:dyDescent="0.2"/>
    <row r="88" spans="1:37" s="316" customFormat="1" x14ac:dyDescent="0.2"/>
    <row r="89" spans="1:37" s="316" customFormat="1" x14ac:dyDescent="0.2">
      <c r="A89" s="191"/>
      <c r="B89" s="333"/>
      <c r="C89" s="191"/>
      <c r="D89" s="191"/>
      <c r="E89" s="191"/>
      <c r="F89" s="191"/>
      <c r="G89" s="191"/>
    </row>
    <row r="90" spans="1:37" s="316" customFormat="1" x14ac:dyDescent="0.2">
      <c r="A90" s="191"/>
      <c r="B90" s="333"/>
      <c r="C90" s="191"/>
      <c r="D90" s="191"/>
      <c r="E90" s="191"/>
      <c r="F90" s="191"/>
      <c r="G90" s="191"/>
    </row>
    <row r="91" spans="1:37" s="316" customFormat="1" x14ac:dyDescent="0.2">
      <c r="A91" s="191"/>
      <c r="B91" s="333"/>
      <c r="C91" s="191"/>
      <c r="D91" s="191"/>
      <c r="E91" s="191"/>
      <c r="F91" s="191"/>
      <c r="G91" s="191"/>
    </row>
    <row r="92" spans="1:37" s="316" customFormat="1" x14ac:dyDescent="0.2">
      <c r="A92" s="191"/>
      <c r="B92" s="191"/>
      <c r="C92" s="191"/>
      <c r="D92" s="191"/>
      <c r="E92" s="191"/>
      <c r="F92" s="191"/>
      <c r="G92" s="191"/>
    </row>
    <row r="93" spans="1:37" s="316" customFormat="1" x14ac:dyDescent="0.2">
      <c r="A93" s="191"/>
      <c r="B93" s="191"/>
      <c r="C93" s="191"/>
      <c r="D93" s="191"/>
      <c r="E93" s="191"/>
      <c r="F93" s="191"/>
      <c r="G93" s="191"/>
    </row>
    <row r="94" spans="1:37" s="316" customFormat="1" x14ac:dyDescent="0.2"/>
    <row r="95" spans="1:37" s="316" customFormat="1" x14ac:dyDescent="0.2"/>
    <row r="96" spans="1:37" s="316" customFormat="1" x14ac:dyDescent="0.2"/>
    <row r="97" s="316" customFormat="1" x14ac:dyDescent="0.2"/>
    <row r="98" s="316" customFormat="1" x14ac:dyDescent="0.2"/>
    <row r="99" s="316" customFormat="1" x14ac:dyDescent="0.2"/>
    <row r="100" s="316" customFormat="1" x14ac:dyDescent="0.2"/>
    <row r="101" s="316" customFormat="1" x14ac:dyDescent="0.2"/>
    <row r="102" s="316" customFormat="1" x14ac:dyDescent="0.2"/>
    <row r="103" s="316" customFormat="1" x14ac:dyDescent="0.2"/>
    <row r="104" s="316" customFormat="1" x14ac:dyDescent="0.2"/>
    <row r="105" s="316" customFormat="1" x14ac:dyDescent="0.2"/>
    <row r="106" s="316" customFormat="1" x14ac:dyDescent="0.2"/>
    <row r="107" s="316" customFormat="1" x14ac:dyDescent="0.2"/>
    <row r="108" s="316" customFormat="1" x14ac:dyDescent="0.2"/>
    <row r="109" s="316" customFormat="1" x14ac:dyDescent="0.2"/>
    <row r="110" s="316" customFormat="1" x14ac:dyDescent="0.2"/>
    <row r="111" s="316" customFormat="1" x14ac:dyDescent="0.2"/>
    <row r="112" s="316" customFormat="1" x14ac:dyDescent="0.2"/>
    <row r="113" s="316" customFormat="1" x14ac:dyDescent="0.2"/>
    <row r="114" s="316" customFormat="1" x14ac:dyDescent="0.2"/>
    <row r="115" s="316" customFormat="1" x14ac:dyDescent="0.2"/>
    <row r="116" s="316" customFormat="1" x14ac:dyDescent="0.2"/>
    <row r="117" s="316" customFormat="1" x14ac:dyDescent="0.2"/>
    <row r="118" s="316" customFormat="1" x14ac:dyDescent="0.2"/>
    <row r="119" s="316" customFormat="1" x14ac:dyDescent="0.2"/>
    <row r="120" s="316" customFormat="1" x14ac:dyDescent="0.2"/>
    <row r="121" s="316" customFormat="1" x14ac:dyDescent="0.2"/>
    <row r="122" s="316" customFormat="1" x14ac:dyDescent="0.2"/>
    <row r="123" s="316" customFormat="1" x14ac:dyDescent="0.2"/>
    <row r="124" s="316" customFormat="1" x14ac:dyDescent="0.2"/>
    <row r="125" s="316" customFormat="1" x14ac:dyDescent="0.2"/>
    <row r="126" s="316" customFormat="1" x14ac:dyDescent="0.2"/>
    <row r="127" s="316" customFormat="1" x14ac:dyDescent="0.2"/>
    <row r="128" s="316" customFormat="1" x14ac:dyDescent="0.2"/>
    <row r="129" s="316" customFormat="1" x14ac:dyDescent="0.2"/>
    <row r="130" s="316" customFormat="1" x14ac:dyDescent="0.2"/>
    <row r="131" s="316" customFormat="1" x14ac:dyDescent="0.2"/>
    <row r="132" s="316" customFormat="1" x14ac:dyDescent="0.2"/>
    <row r="133" s="316" customFormat="1" x14ac:dyDescent="0.2"/>
    <row r="134" s="316" customFormat="1" x14ac:dyDescent="0.2"/>
    <row r="135" s="316" customFormat="1" x14ac:dyDescent="0.2"/>
    <row r="136" s="316" customFormat="1" x14ac:dyDescent="0.2"/>
    <row r="137" s="316" customFormat="1" x14ac:dyDescent="0.2"/>
    <row r="138" s="316" customFormat="1" x14ac:dyDescent="0.2"/>
    <row r="139" s="316" customFormat="1" x14ac:dyDescent="0.2"/>
    <row r="140" s="316" customFormat="1" x14ac:dyDescent="0.2"/>
    <row r="141" s="316" customFormat="1" x14ac:dyDescent="0.2"/>
    <row r="142" s="316" customFormat="1" x14ac:dyDescent="0.2"/>
    <row r="143" s="316" customFormat="1" x14ac:dyDescent="0.2"/>
    <row r="144" s="316" customFormat="1" x14ac:dyDescent="0.2"/>
    <row r="145" s="316" customFormat="1" x14ac:dyDescent="0.2"/>
    <row r="146" s="316" customFormat="1" x14ac:dyDescent="0.2"/>
    <row r="147" s="316" customFormat="1" x14ac:dyDescent="0.2"/>
    <row r="148" s="316" customFormat="1" x14ac:dyDescent="0.2"/>
    <row r="149" s="316" customFormat="1" x14ac:dyDescent="0.2"/>
    <row r="150" s="316" customFormat="1" x14ac:dyDescent="0.2"/>
    <row r="151" s="316" customFormat="1" x14ac:dyDescent="0.2"/>
    <row r="152" s="316" customFormat="1" x14ac:dyDescent="0.2"/>
    <row r="153" s="316" customFormat="1" x14ac:dyDescent="0.2"/>
    <row r="154" s="316" customFormat="1" x14ac:dyDescent="0.2"/>
    <row r="155" s="316" customFormat="1" x14ac:dyDescent="0.2"/>
    <row r="156" s="316" customFormat="1" x14ac:dyDescent="0.2"/>
    <row r="157" s="316" customFormat="1" x14ac:dyDescent="0.2"/>
    <row r="158" s="316" customFormat="1" x14ac:dyDescent="0.2"/>
    <row r="159" s="316" customFormat="1" x14ac:dyDescent="0.2"/>
    <row r="160" s="316" customFormat="1" x14ac:dyDescent="0.2"/>
    <row r="161" s="316" customFormat="1" x14ac:dyDescent="0.2"/>
    <row r="162" s="316" customFormat="1" x14ac:dyDescent="0.2"/>
    <row r="163" s="316" customFormat="1" x14ac:dyDescent="0.2"/>
    <row r="164" s="316" customFormat="1" x14ac:dyDescent="0.2"/>
    <row r="165" s="316" customFormat="1" x14ac:dyDescent="0.2"/>
    <row r="166" s="41" customFormat="1" x14ac:dyDescent="0.2"/>
    <row r="167" s="41" customFormat="1" x14ac:dyDescent="0.2"/>
    <row r="168" s="41" customFormat="1" x14ac:dyDescent="0.2"/>
    <row r="169" s="41" customFormat="1" x14ac:dyDescent="0.2"/>
    <row r="170" s="41" customFormat="1" x14ac:dyDescent="0.2"/>
    <row r="171" s="41" customFormat="1" x14ac:dyDescent="0.2"/>
    <row r="172" s="41" customFormat="1" x14ac:dyDescent="0.2"/>
    <row r="173" s="41" customFormat="1" x14ac:dyDescent="0.2"/>
    <row r="174" s="41" customFormat="1" x14ac:dyDescent="0.2"/>
    <row r="175" s="41" customFormat="1" x14ac:dyDescent="0.2"/>
    <row r="176" s="41" customFormat="1" x14ac:dyDescent="0.2"/>
    <row r="177" s="41" customFormat="1" x14ac:dyDescent="0.2"/>
    <row r="178" s="41" customFormat="1" x14ac:dyDescent="0.2"/>
    <row r="179" s="41" customFormat="1" x14ac:dyDescent="0.2"/>
    <row r="180" s="41" customFormat="1" x14ac:dyDescent="0.2"/>
    <row r="181" s="41" customFormat="1" x14ac:dyDescent="0.2"/>
    <row r="182" s="41" customFormat="1" x14ac:dyDescent="0.2"/>
    <row r="183" s="41" customFormat="1" x14ac:dyDescent="0.2"/>
    <row r="184" s="41" customFormat="1" x14ac:dyDescent="0.2"/>
    <row r="185" s="41" customFormat="1" x14ac:dyDescent="0.2"/>
    <row r="186" s="41" customFormat="1" x14ac:dyDescent="0.2"/>
    <row r="187" s="41" customFormat="1" x14ac:dyDescent="0.2"/>
    <row r="188" s="41" customFormat="1" x14ac:dyDescent="0.2"/>
    <row r="189" s="41" customFormat="1" x14ac:dyDescent="0.2"/>
    <row r="190" s="41" customFormat="1" x14ac:dyDescent="0.2"/>
    <row r="191" s="41" customFormat="1" x14ac:dyDescent="0.2"/>
    <row r="192" s="41" customFormat="1" x14ac:dyDescent="0.2"/>
    <row r="193" spans="34:37" s="41" customFormat="1" x14ac:dyDescent="0.2"/>
    <row r="194" spans="34:37" s="41" customFormat="1" x14ac:dyDescent="0.2"/>
    <row r="195" spans="34:37" s="41" customFormat="1" x14ac:dyDescent="0.2"/>
    <row r="196" spans="34:37" x14ac:dyDescent="0.2">
      <c r="AH196" s="15"/>
      <c r="AI196" s="15"/>
      <c r="AJ196" s="41"/>
      <c r="AK196" s="41"/>
    </row>
    <row r="197" spans="34:37" x14ac:dyDescent="0.2">
      <c r="AH197" s="15"/>
      <c r="AI197" s="15"/>
      <c r="AJ197" s="41"/>
      <c r="AK197" s="41"/>
    </row>
    <row r="198" spans="34:37" x14ac:dyDescent="0.2">
      <c r="AH198" s="15"/>
      <c r="AI198" s="15"/>
      <c r="AJ198" s="41"/>
      <c r="AK198" s="41"/>
    </row>
    <row r="199" spans="34:37" x14ac:dyDescent="0.2">
      <c r="AH199" s="15"/>
      <c r="AI199" s="15"/>
      <c r="AJ199" s="41"/>
      <c r="AK199" s="41"/>
    </row>
    <row r="200" spans="34:37" x14ac:dyDescent="0.2">
      <c r="AH200" s="15"/>
      <c r="AI200" s="15"/>
      <c r="AJ200" s="41"/>
      <c r="AK200" s="41"/>
    </row>
    <row r="201" spans="34:37" x14ac:dyDescent="0.2">
      <c r="AH201" s="15"/>
      <c r="AI201" s="15"/>
      <c r="AJ201" s="41"/>
      <c r="AK201" s="41"/>
    </row>
    <row r="202" spans="34:37" x14ac:dyDescent="0.2">
      <c r="AH202" s="15"/>
      <c r="AI202" s="15"/>
      <c r="AJ202" s="41"/>
      <c r="AK202" s="41"/>
    </row>
    <row r="203" spans="34:37" x14ac:dyDescent="0.2">
      <c r="AH203" s="15"/>
      <c r="AI203" s="15"/>
      <c r="AJ203" s="41"/>
      <c r="AK203" s="41"/>
    </row>
    <row r="204" spans="34:37" x14ac:dyDescent="0.2">
      <c r="AH204" s="15"/>
      <c r="AI204" s="15"/>
      <c r="AJ204" s="41"/>
      <c r="AK204" s="41"/>
    </row>
    <row r="205" spans="34:37" x14ac:dyDescent="0.2">
      <c r="AH205" s="15"/>
      <c r="AI205" s="15"/>
      <c r="AJ205" s="41"/>
      <c r="AK205" s="41"/>
    </row>
    <row r="206" spans="34:37" x14ac:dyDescent="0.2">
      <c r="AH206" s="15"/>
      <c r="AI206" s="15"/>
      <c r="AJ206" s="41"/>
      <c r="AK206" s="41"/>
    </row>
    <row r="207" spans="34:37" x14ac:dyDescent="0.2">
      <c r="AH207" s="15"/>
      <c r="AI207" s="15"/>
      <c r="AJ207" s="41"/>
      <c r="AK207" s="41"/>
    </row>
    <row r="208" spans="34:37" x14ac:dyDescent="0.2">
      <c r="AH208" s="15"/>
      <c r="AI208" s="15"/>
      <c r="AJ208" s="41"/>
      <c r="AK208" s="41"/>
    </row>
    <row r="209" spans="34:37" x14ac:dyDescent="0.2">
      <c r="AH209" s="15"/>
      <c r="AI209" s="15"/>
      <c r="AJ209" s="41"/>
      <c r="AK209" s="41"/>
    </row>
    <row r="210" spans="34:37" x14ac:dyDescent="0.2">
      <c r="AH210" s="15"/>
      <c r="AI210" s="15"/>
      <c r="AJ210" s="41"/>
      <c r="AK210" s="41"/>
    </row>
    <row r="211" spans="34:37" x14ac:dyDescent="0.2">
      <c r="AH211" s="15"/>
      <c r="AI211" s="15"/>
      <c r="AJ211" s="41"/>
      <c r="AK211" s="41"/>
    </row>
    <row r="212" spans="34:37" x14ac:dyDescent="0.2">
      <c r="AH212" s="15"/>
      <c r="AI212" s="15"/>
      <c r="AJ212" s="41"/>
      <c r="AK212" s="41"/>
    </row>
    <row r="213" spans="34:37" x14ac:dyDescent="0.2">
      <c r="AH213" s="15"/>
      <c r="AI213" s="15"/>
      <c r="AJ213" s="41"/>
      <c r="AK213" s="41"/>
    </row>
    <row r="214" spans="34:37" x14ac:dyDescent="0.2">
      <c r="AH214" s="15"/>
      <c r="AI214" s="15"/>
      <c r="AJ214" s="41"/>
      <c r="AK214" s="41"/>
    </row>
    <row r="215" spans="34:37" x14ac:dyDescent="0.2">
      <c r="AH215" s="15"/>
      <c r="AI215" s="15"/>
      <c r="AJ215" s="41"/>
      <c r="AK215" s="41"/>
    </row>
    <row r="216" spans="34:37" x14ac:dyDescent="0.2">
      <c r="AH216" s="15"/>
      <c r="AI216" s="15"/>
      <c r="AJ216" s="41"/>
      <c r="AK216" s="41"/>
    </row>
    <row r="217" spans="34:37" x14ac:dyDescent="0.2">
      <c r="AH217" s="15"/>
      <c r="AI217" s="15"/>
      <c r="AJ217" s="41"/>
      <c r="AK217" s="41"/>
    </row>
    <row r="218" spans="34:37" x14ac:dyDescent="0.2">
      <c r="AH218" s="15"/>
      <c r="AI218" s="15"/>
      <c r="AJ218" s="41"/>
      <c r="AK218" s="41"/>
    </row>
    <row r="219" spans="34:37" x14ac:dyDescent="0.2">
      <c r="AH219" s="15"/>
      <c r="AI219" s="15"/>
      <c r="AJ219" s="41"/>
      <c r="AK219" s="41"/>
    </row>
    <row r="220" spans="34:37" x14ac:dyDescent="0.2">
      <c r="AH220" s="15"/>
      <c r="AI220" s="15"/>
      <c r="AJ220" s="41"/>
      <c r="AK220" s="41"/>
    </row>
    <row r="221" spans="34:37" x14ac:dyDescent="0.2">
      <c r="AH221" s="15"/>
      <c r="AI221" s="15"/>
      <c r="AJ221" s="41"/>
      <c r="AK221" s="41"/>
    </row>
    <row r="222" spans="34:37" x14ac:dyDescent="0.2">
      <c r="AH222" s="15"/>
      <c r="AI222" s="15"/>
      <c r="AJ222" s="41"/>
      <c r="AK222" s="41"/>
    </row>
    <row r="223" spans="34:37" x14ac:dyDescent="0.2">
      <c r="AH223" s="15"/>
      <c r="AI223" s="15"/>
      <c r="AJ223" s="41"/>
      <c r="AK223" s="41"/>
    </row>
    <row r="224" spans="34:37" x14ac:dyDescent="0.2">
      <c r="AH224" s="15"/>
      <c r="AI224" s="15"/>
      <c r="AJ224" s="41"/>
      <c r="AK224" s="41"/>
    </row>
    <row r="225" spans="34:37" x14ac:dyDescent="0.2">
      <c r="AH225" s="15"/>
      <c r="AI225" s="15"/>
      <c r="AJ225" s="41"/>
      <c r="AK225" s="41"/>
    </row>
    <row r="226" spans="34:37" x14ac:dyDescent="0.2">
      <c r="AH226" s="15"/>
      <c r="AI226" s="15"/>
      <c r="AJ226" s="41"/>
      <c r="AK226" s="41"/>
    </row>
    <row r="227" spans="34:37" x14ac:dyDescent="0.2">
      <c r="AH227" s="15"/>
      <c r="AI227" s="15"/>
      <c r="AJ227" s="41"/>
      <c r="AK227" s="41"/>
    </row>
    <row r="228" spans="34:37" x14ac:dyDescent="0.2">
      <c r="AH228" s="15"/>
      <c r="AI228" s="15"/>
      <c r="AJ228" s="41"/>
      <c r="AK228" s="41"/>
    </row>
    <row r="229" spans="34:37" x14ac:dyDescent="0.2">
      <c r="AH229" s="15"/>
      <c r="AI229" s="15"/>
      <c r="AJ229" s="41"/>
      <c r="AK229" s="41"/>
    </row>
    <row r="230" spans="34:37" x14ac:dyDescent="0.2">
      <c r="AH230" s="15"/>
      <c r="AI230" s="15"/>
      <c r="AJ230" s="41"/>
      <c r="AK230" s="41"/>
    </row>
    <row r="231" spans="34:37" x14ac:dyDescent="0.2">
      <c r="AH231" s="15"/>
      <c r="AI231" s="15"/>
      <c r="AJ231" s="41"/>
      <c r="AK231" s="41"/>
    </row>
    <row r="232" spans="34:37" x14ac:dyDescent="0.2">
      <c r="AH232" s="15"/>
      <c r="AI232" s="15"/>
      <c r="AJ232" s="41"/>
      <c r="AK232" s="41"/>
    </row>
    <row r="233" spans="34:37" x14ac:dyDescent="0.2">
      <c r="AH233" s="15"/>
      <c r="AI233" s="15"/>
      <c r="AJ233" s="41"/>
      <c r="AK233" s="41"/>
    </row>
    <row r="234" spans="34:37" x14ac:dyDescent="0.2">
      <c r="AH234" s="15"/>
      <c r="AI234" s="15"/>
      <c r="AJ234" s="41"/>
      <c r="AK234" s="41"/>
    </row>
    <row r="235" spans="34:37" x14ac:dyDescent="0.2">
      <c r="AH235" s="15"/>
      <c r="AI235" s="15"/>
      <c r="AJ235" s="41"/>
      <c r="AK235" s="41"/>
    </row>
    <row r="236" spans="34:37" x14ac:dyDescent="0.2">
      <c r="AH236" s="15"/>
      <c r="AI236" s="15"/>
      <c r="AJ236" s="41"/>
      <c r="AK236" s="41"/>
    </row>
    <row r="237" spans="34:37" x14ac:dyDescent="0.2">
      <c r="AH237" s="15"/>
      <c r="AI237" s="15"/>
      <c r="AJ237" s="41"/>
      <c r="AK237" s="41"/>
    </row>
    <row r="238" spans="34:37" x14ac:dyDescent="0.2">
      <c r="AH238" s="15"/>
      <c r="AI238" s="15"/>
      <c r="AJ238" s="41"/>
      <c r="AK238" s="41"/>
    </row>
    <row r="239" spans="34:37" x14ac:dyDescent="0.2">
      <c r="AH239" s="15"/>
      <c r="AI239" s="15"/>
      <c r="AJ239" s="41"/>
      <c r="AK239" s="41"/>
    </row>
    <row r="240" spans="34:37" x14ac:dyDescent="0.2">
      <c r="AH240" s="15"/>
      <c r="AI240" s="15"/>
      <c r="AJ240" s="41"/>
      <c r="AK240" s="41"/>
    </row>
    <row r="241" spans="34:37" x14ac:dyDescent="0.2">
      <c r="AH241" s="15"/>
      <c r="AI241" s="15"/>
      <c r="AJ241" s="41"/>
      <c r="AK241" s="41"/>
    </row>
    <row r="242" spans="34:37" x14ac:dyDescent="0.2">
      <c r="AH242" s="15"/>
      <c r="AI242" s="15"/>
      <c r="AJ242" s="41"/>
      <c r="AK242" s="41"/>
    </row>
    <row r="243" spans="34:37" x14ac:dyDescent="0.2">
      <c r="AH243" s="15"/>
      <c r="AI243" s="15"/>
      <c r="AJ243" s="41"/>
      <c r="AK243" s="41"/>
    </row>
    <row r="244" spans="34:37" x14ac:dyDescent="0.2">
      <c r="AH244" s="15"/>
      <c r="AI244" s="15"/>
      <c r="AJ244" s="41"/>
      <c r="AK244" s="41"/>
    </row>
    <row r="245" spans="34:37" x14ac:dyDescent="0.2">
      <c r="AH245" s="15"/>
      <c r="AI245" s="15"/>
      <c r="AJ245" s="41"/>
      <c r="AK245" s="41"/>
    </row>
    <row r="246" spans="34:37" x14ac:dyDescent="0.2">
      <c r="AH246" s="15"/>
      <c r="AI246" s="15"/>
      <c r="AJ246" s="41"/>
      <c r="AK246" s="41"/>
    </row>
    <row r="247" spans="34:37" x14ac:dyDescent="0.2">
      <c r="AH247" s="15"/>
      <c r="AI247" s="15"/>
      <c r="AJ247" s="41"/>
      <c r="AK247" s="41"/>
    </row>
    <row r="248" spans="34:37" x14ac:dyDescent="0.2">
      <c r="AH248" s="15"/>
      <c r="AI248" s="15"/>
      <c r="AJ248" s="41"/>
      <c r="AK248" s="41"/>
    </row>
    <row r="249" spans="34:37" x14ac:dyDescent="0.2">
      <c r="AH249" s="15"/>
      <c r="AI249" s="15"/>
      <c r="AJ249" s="41"/>
      <c r="AK249" s="41"/>
    </row>
    <row r="250" spans="34:37" x14ac:dyDescent="0.2">
      <c r="AH250" s="15"/>
      <c r="AI250" s="15"/>
      <c r="AJ250" s="41"/>
      <c r="AK250" s="41"/>
    </row>
    <row r="251" spans="34:37" x14ac:dyDescent="0.2">
      <c r="AH251" s="15"/>
      <c r="AI251" s="15"/>
      <c r="AJ251" s="41"/>
      <c r="AK251" s="41"/>
    </row>
    <row r="252" spans="34:37" x14ac:dyDescent="0.2">
      <c r="AH252" s="15"/>
      <c r="AI252" s="15"/>
      <c r="AJ252" s="41"/>
      <c r="AK252" s="41"/>
    </row>
    <row r="253" spans="34:37" x14ac:dyDescent="0.2">
      <c r="AH253" s="15"/>
      <c r="AI253" s="15"/>
      <c r="AJ253" s="41"/>
      <c r="AK253" s="41"/>
    </row>
    <row r="254" spans="34:37" x14ac:dyDescent="0.2">
      <c r="AH254" s="15"/>
      <c r="AI254" s="15"/>
      <c r="AJ254" s="41"/>
      <c r="AK254" s="41"/>
    </row>
    <row r="255" spans="34:37" x14ac:dyDescent="0.2">
      <c r="AH255" s="15"/>
      <c r="AI255" s="15"/>
      <c r="AJ255" s="41"/>
      <c r="AK255" s="41"/>
    </row>
    <row r="256" spans="34:37" x14ac:dyDescent="0.2">
      <c r="AH256" s="15"/>
      <c r="AI256" s="15"/>
      <c r="AJ256" s="41"/>
      <c r="AK256" s="41"/>
    </row>
    <row r="257" spans="34:37" x14ac:dyDescent="0.2">
      <c r="AH257" s="15"/>
      <c r="AI257" s="15"/>
      <c r="AJ257" s="41"/>
      <c r="AK257" s="41"/>
    </row>
    <row r="258" spans="34:37" x14ac:dyDescent="0.2">
      <c r="AH258" s="15"/>
      <c r="AI258" s="15"/>
      <c r="AJ258" s="41"/>
      <c r="AK258" s="41"/>
    </row>
    <row r="259" spans="34:37" x14ac:dyDescent="0.2">
      <c r="AH259" s="15"/>
      <c r="AI259" s="15"/>
      <c r="AJ259" s="41"/>
      <c r="AK259" s="41"/>
    </row>
    <row r="260" spans="34:37" x14ac:dyDescent="0.2">
      <c r="AH260" s="15"/>
      <c r="AI260" s="15"/>
      <c r="AJ260" s="41"/>
      <c r="AK260" s="41"/>
    </row>
    <row r="261" spans="34:37" x14ac:dyDescent="0.2">
      <c r="AH261" s="15"/>
      <c r="AI261" s="15"/>
      <c r="AJ261" s="41"/>
      <c r="AK261" s="41"/>
    </row>
    <row r="262" spans="34:37" x14ac:dyDescent="0.2">
      <c r="AH262" s="15"/>
      <c r="AI262" s="15"/>
      <c r="AJ262" s="41"/>
      <c r="AK262" s="41"/>
    </row>
    <row r="263" spans="34:37" x14ac:dyDescent="0.2">
      <c r="AH263" s="15"/>
      <c r="AI263" s="15"/>
      <c r="AJ263" s="41"/>
      <c r="AK263" s="41"/>
    </row>
    <row r="264" spans="34:37" x14ac:dyDescent="0.2">
      <c r="AH264" s="15"/>
      <c r="AI264" s="15"/>
      <c r="AJ264" s="41"/>
      <c r="AK264" s="41"/>
    </row>
    <row r="265" spans="34:37" x14ac:dyDescent="0.2">
      <c r="AH265" s="15"/>
      <c r="AI265" s="15"/>
      <c r="AJ265" s="41"/>
      <c r="AK265" s="41"/>
    </row>
    <row r="266" spans="34:37" x14ac:dyDescent="0.2">
      <c r="AH266" s="15"/>
      <c r="AI266" s="15"/>
      <c r="AJ266" s="41"/>
      <c r="AK266" s="41"/>
    </row>
    <row r="267" spans="34:37" x14ac:dyDescent="0.2">
      <c r="AH267" s="15"/>
      <c r="AI267" s="15"/>
      <c r="AJ267" s="41"/>
      <c r="AK267" s="41"/>
    </row>
    <row r="268" spans="34:37" x14ac:dyDescent="0.2">
      <c r="AH268" s="15"/>
      <c r="AI268" s="15"/>
      <c r="AJ268" s="41"/>
      <c r="AK268" s="41"/>
    </row>
    <row r="269" spans="34:37" x14ac:dyDescent="0.2">
      <c r="AH269" s="15"/>
      <c r="AI269" s="15"/>
      <c r="AJ269" s="41"/>
      <c r="AK269" s="41"/>
    </row>
    <row r="270" spans="34:37" x14ac:dyDescent="0.2">
      <c r="AH270" s="15"/>
      <c r="AI270" s="15"/>
      <c r="AJ270" s="41"/>
      <c r="AK270" s="41"/>
    </row>
    <row r="271" spans="34:37" x14ac:dyDescent="0.2">
      <c r="AH271" s="15"/>
      <c r="AI271" s="15"/>
      <c r="AJ271" s="41"/>
      <c r="AK271" s="41"/>
    </row>
    <row r="272" spans="34:37" x14ac:dyDescent="0.2">
      <c r="AH272" s="15"/>
      <c r="AI272" s="15"/>
      <c r="AJ272" s="41"/>
      <c r="AK272" s="41"/>
    </row>
    <row r="273" spans="34:37" x14ac:dyDescent="0.2">
      <c r="AH273" s="15"/>
      <c r="AI273" s="15"/>
      <c r="AJ273" s="41"/>
      <c r="AK273" s="41"/>
    </row>
    <row r="274" spans="34:37" x14ac:dyDescent="0.2">
      <c r="AH274" s="15"/>
      <c r="AI274" s="15"/>
      <c r="AJ274" s="41"/>
      <c r="AK274" s="41"/>
    </row>
    <row r="275" spans="34:37" x14ac:dyDescent="0.2">
      <c r="AH275" s="15"/>
      <c r="AI275" s="15"/>
      <c r="AJ275" s="41"/>
      <c r="AK275" s="41"/>
    </row>
    <row r="276" spans="34:37" x14ac:dyDescent="0.2">
      <c r="AH276" s="15"/>
      <c r="AI276" s="15"/>
      <c r="AJ276" s="41"/>
      <c r="AK276" s="41"/>
    </row>
    <row r="277" spans="34:37" x14ac:dyDescent="0.2">
      <c r="AH277" s="15"/>
      <c r="AI277" s="15"/>
      <c r="AJ277" s="41"/>
      <c r="AK277" s="41"/>
    </row>
    <row r="278" spans="34:37" x14ac:dyDescent="0.2">
      <c r="AH278" s="15"/>
      <c r="AI278" s="15"/>
      <c r="AJ278" s="41"/>
      <c r="AK278" s="41"/>
    </row>
    <row r="279" spans="34:37" x14ac:dyDescent="0.2">
      <c r="AH279" s="15"/>
      <c r="AI279" s="15"/>
      <c r="AJ279" s="41"/>
      <c r="AK279" s="41"/>
    </row>
    <row r="280" spans="34:37" x14ac:dyDescent="0.2">
      <c r="AH280" s="15"/>
      <c r="AI280" s="15"/>
      <c r="AJ280" s="41"/>
      <c r="AK280" s="41"/>
    </row>
    <row r="281" spans="34:37" x14ac:dyDescent="0.2">
      <c r="AH281" s="15"/>
      <c r="AI281" s="15"/>
      <c r="AJ281" s="41"/>
      <c r="AK281" s="41"/>
    </row>
    <row r="282" spans="34:37" x14ac:dyDescent="0.2">
      <c r="AH282" s="15"/>
      <c r="AI282" s="15"/>
      <c r="AJ282" s="41"/>
      <c r="AK282" s="41"/>
    </row>
    <row r="283" spans="34:37" x14ac:dyDescent="0.2">
      <c r="AH283" s="15"/>
      <c r="AI283" s="15"/>
      <c r="AJ283" s="41"/>
      <c r="AK283" s="41"/>
    </row>
    <row r="284" spans="34:37" x14ac:dyDescent="0.2">
      <c r="AH284" s="15"/>
      <c r="AI284" s="15"/>
      <c r="AJ284" s="41"/>
      <c r="AK284" s="41"/>
    </row>
    <row r="285" spans="34:37" x14ac:dyDescent="0.2">
      <c r="AH285" s="15"/>
      <c r="AI285" s="15"/>
      <c r="AJ285" s="41"/>
      <c r="AK285" s="41"/>
    </row>
    <row r="286" spans="34:37" x14ac:dyDescent="0.2">
      <c r="AH286" s="15"/>
      <c r="AI286" s="15"/>
      <c r="AJ286" s="41"/>
      <c r="AK286" s="41"/>
    </row>
    <row r="287" spans="34:37" x14ac:dyDescent="0.2">
      <c r="AH287" s="15"/>
      <c r="AI287" s="15"/>
      <c r="AJ287" s="41"/>
      <c r="AK287" s="41"/>
    </row>
    <row r="288" spans="34:37" x14ac:dyDescent="0.2">
      <c r="AH288" s="15"/>
      <c r="AI288" s="15"/>
      <c r="AJ288" s="41"/>
      <c r="AK288" s="41"/>
    </row>
    <row r="289" spans="34:37" x14ac:dyDescent="0.2">
      <c r="AH289" s="15"/>
      <c r="AI289" s="15"/>
      <c r="AJ289" s="41"/>
      <c r="AK289" s="41"/>
    </row>
    <row r="290" spans="34:37" x14ac:dyDescent="0.2">
      <c r="AH290" s="15"/>
      <c r="AI290" s="15"/>
      <c r="AJ290" s="41"/>
      <c r="AK290" s="41"/>
    </row>
    <row r="291" spans="34:37" x14ac:dyDescent="0.2">
      <c r="AH291" s="15"/>
      <c r="AI291" s="15"/>
      <c r="AJ291" s="41"/>
      <c r="AK291" s="41"/>
    </row>
    <row r="292" spans="34:37" x14ac:dyDescent="0.2">
      <c r="AH292" s="15"/>
      <c r="AI292" s="15"/>
      <c r="AJ292" s="41"/>
      <c r="AK292" s="41"/>
    </row>
    <row r="293" spans="34:37" x14ac:dyDescent="0.2">
      <c r="AH293" s="15"/>
      <c r="AI293" s="15"/>
      <c r="AJ293" s="41"/>
      <c r="AK293" s="41"/>
    </row>
    <row r="294" spans="34:37" x14ac:dyDescent="0.2">
      <c r="AH294" s="15"/>
      <c r="AI294" s="15"/>
      <c r="AJ294" s="41"/>
      <c r="AK294" s="41"/>
    </row>
    <row r="295" spans="34:37" x14ac:dyDescent="0.2">
      <c r="AH295" s="15"/>
      <c r="AI295" s="15"/>
      <c r="AJ295" s="41"/>
      <c r="AK295" s="41"/>
    </row>
    <row r="296" spans="34:37" x14ac:dyDescent="0.2">
      <c r="AH296" s="15"/>
      <c r="AI296" s="15"/>
      <c r="AJ296" s="41"/>
      <c r="AK296" s="41"/>
    </row>
    <row r="297" spans="34:37" x14ac:dyDescent="0.2">
      <c r="AH297" s="15"/>
      <c r="AI297" s="15"/>
      <c r="AJ297" s="41"/>
      <c r="AK297" s="41"/>
    </row>
    <row r="298" spans="34:37" x14ac:dyDescent="0.2">
      <c r="AH298" s="15"/>
      <c r="AI298" s="15"/>
      <c r="AJ298" s="41"/>
      <c r="AK298" s="41"/>
    </row>
    <row r="299" spans="34:37" x14ac:dyDescent="0.2">
      <c r="AH299" s="15"/>
      <c r="AI299" s="15"/>
      <c r="AJ299" s="41"/>
      <c r="AK299" s="41"/>
    </row>
    <row r="300" spans="34:37" x14ac:dyDescent="0.2">
      <c r="AH300" s="15"/>
      <c r="AI300" s="15"/>
      <c r="AJ300" s="41"/>
      <c r="AK300" s="41"/>
    </row>
    <row r="301" spans="34:37" x14ac:dyDescent="0.2">
      <c r="AH301" s="15"/>
      <c r="AI301" s="15"/>
      <c r="AJ301" s="41"/>
      <c r="AK301" s="41"/>
    </row>
    <row r="302" spans="34:37" x14ac:dyDescent="0.2">
      <c r="AH302" s="15"/>
      <c r="AI302" s="15"/>
      <c r="AJ302" s="41"/>
      <c r="AK302" s="41"/>
    </row>
    <row r="303" spans="34:37" x14ac:dyDescent="0.2">
      <c r="AH303" s="15"/>
      <c r="AI303" s="15"/>
      <c r="AJ303" s="41"/>
      <c r="AK303" s="41"/>
    </row>
    <row r="304" spans="34:37" x14ac:dyDescent="0.2">
      <c r="AH304" s="15"/>
      <c r="AI304" s="15"/>
      <c r="AJ304" s="41"/>
      <c r="AK304" s="41"/>
    </row>
    <row r="305" spans="34:37" x14ac:dyDescent="0.2">
      <c r="AH305" s="15"/>
      <c r="AI305" s="15"/>
      <c r="AJ305" s="41"/>
      <c r="AK305" s="41"/>
    </row>
    <row r="306" spans="34:37" x14ac:dyDescent="0.2">
      <c r="AH306" s="15"/>
      <c r="AI306" s="15"/>
      <c r="AJ306" s="41"/>
      <c r="AK306" s="41"/>
    </row>
    <row r="307" spans="34:37" x14ac:dyDescent="0.2">
      <c r="AH307" s="15"/>
      <c r="AI307" s="15"/>
      <c r="AJ307" s="41"/>
      <c r="AK307" s="41"/>
    </row>
    <row r="308" spans="34:37" x14ac:dyDescent="0.2">
      <c r="AH308" s="15"/>
      <c r="AI308" s="15"/>
      <c r="AJ308" s="41"/>
      <c r="AK308" s="41"/>
    </row>
    <row r="309" spans="34:37" x14ac:dyDescent="0.2">
      <c r="AH309" s="15"/>
      <c r="AI309" s="15"/>
      <c r="AJ309" s="41"/>
      <c r="AK309" s="41"/>
    </row>
    <row r="310" spans="34:37" x14ac:dyDescent="0.2">
      <c r="AH310" s="15"/>
      <c r="AI310" s="15"/>
      <c r="AJ310" s="41"/>
      <c r="AK310" s="41"/>
    </row>
    <row r="311" spans="34:37" x14ac:dyDescent="0.2">
      <c r="AH311" s="15"/>
      <c r="AI311" s="15"/>
      <c r="AJ311" s="41"/>
      <c r="AK311" s="41"/>
    </row>
    <row r="312" spans="34:37" x14ac:dyDescent="0.2">
      <c r="AH312" s="15"/>
      <c r="AI312" s="15"/>
      <c r="AJ312" s="41"/>
      <c r="AK312" s="41"/>
    </row>
    <row r="313" spans="34:37" x14ac:dyDescent="0.2">
      <c r="AH313" s="15"/>
      <c r="AI313" s="15"/>
      <c r="AJ313" s="41"/>
      <c r="AK313" s="41"/>
    </row>
    <row r="314" spans="34:37" x14ac:dyDescent="0.2">
      <c r="AH314" s="15"/>
      <c r="AI314" s="15"/>
      <c r="AJ314" s="41"/>
      <c r="AK314" s="41"/>
    </row>
    <row r="315" spans="34:37" x14ac:dyDescent="0.2">
      <c r="AH315" s="15"/>
      <c r="AI315" s="15"/>
      <c r="AJ315" s="41"/>
      <c r="AK315" s="41"/>
    </row>
    <row r="316" spans="34:37" x14ac:dyDescent="0.2">
      <c r="AH316" s="15"/>
      <c r="AI316" s="15"/>
      <c r="AJ316" s="41"/>
      <c r="AK316" s="41"/>
    </row>
    <row r="317" spans="34:37" x14ac:dyDescent="0.2">
      <c r="AH317" s="15"/>
      <c r="AI317" s="15"/>
      <c r="AJ317" s="41"/>
      <c r="AK317" s="41"/>
    </row>
    <row r="318" spans="34:37" x14ac:dyDescent="0.2">
      <c r="AH318" s="15"/>
      <c r="AI318" s="15"/>
      <c r="AJ318" s="41"/>
      <c r="AK318" s="41"/>
    </row>
    <row r="319" spans="34:37" x14ac:dyDescent="0.2">
      <c r="AH319" s="15"/>
      <c r="AI319" s="15"/>
      <c r="AJ319" s="41"/>
      <c r="AK319" s="41"/>
    </row>
    <row r="320" spans="34:37" x14ac:dyDescent="0.2">
      <c r="AH320" s="15"/>
      <c r="AI320" s="15"/>
      <c r="AJ320" s="41"/>
      <c r="AK320" s="41"/>
    </row>
    <row r="321" spans="34:37" x14ac:dyDescent="0.2">
      <c r="AH321" s="15"/>
      <c r="AI321" s="15"/>
      <c r="AJ321" s="41"/>
      <c r="AK321" s="41"/>
    </row>
    <row r="322" spans="34:37" x14ac:dyDescent="0.2">
      <c r="AH322" s="15"/>
      <c r="AI322" s="15"/>
      <c r="AJ322" s="41"/>
      <c r="AK322" s="41"/>
    </row>
    <row r="323" spans="34:37" x14ac:dyDescent="0.2">
      <c r="AH323" s="15"/>
      <c r="AI323" s="15"/>
      <c r="AJ323" s="41"/>
      <c r="AK323" s="41"/>
    </row>
    <row r="324" spans="34:37" x14ac:dyDescent="0.2">
      <c r="AH324" s="15"/>
      <c r="AI324" s="15"/>
      <c r="AJ324" s="41"/>
      <c r="AK324" s="41"/>
    </row>
    <row r="325" spans="34:37" x14ac:dyDescent="0.2">
      <c r="AH325" s="15"/>
      <c r="AI325" s="15"/>
      <c r="AJ325" s="41"/>
      <c r="AK325" s="41"/>
    </row>
    <row r="326" spans="34:37" x14ac:dyDescent="0.2">
      <c r="AH326" s="15"/>
      <c r="AI326" s="15"/>
      <c r="AJ326" s="41"/>
      <c r="AK326" s="41"/>
    </row>
    <row r="327" spans="34:37" x14ac:dyDescent="0.2">
      <c r="AH327" s="15"/>
      <c r="AI327" s="15"/>
      <c r="AJ327" s="41"/>
      <c r="AK327" s="41"/>
    </row>
    <row r="328" spans="34:37" x14ac:dyDescent="0.2">
      <c r="AH328" s="15"/>
      <c r="AI328" s="15"/>
      <c r="AJ328" s="41"/>
      <c r="AK328" s="41"/>
    </row>
    <row r="329" spans="34:37" x14ac:dyDescent="0.2">
      <c r="AH329" s="15"/>
      <c r="AI329" s="15"/>
      <c r="AJ329" s="41"/>
      <c r="AK329" s="41"/>
    </row>
    <row r="330" spans="34:37" x14ac:dyDescent="0.2">
      <c r="AH330" s="15"/>
      <c r="AI330" s="15"/>
      <c r="AJ330" s="41"/>
      <c r="AK330" s="41"/>
    </row>
    <row r="331" spans="34:37" x14ac:dyDescent="0.2">
      <c r="AH331" s="15"/>
      <c r="AI331" s="15"/>
      <c r="AJ331" s="41"/>
      <c r="AK331" s="41"/>
    </row>
    <row r="332" spans="34:37" x14ac:dyDescent="0.2">
      <c r="AH332" s="15"/>
      <c r="AI332" s="15"/>
      <c r="AJ332" s="41"/>
      <c r="AK332" s="41"/>
    </row>
    <row r="333" spans="34:37" x14ac:dyDescent="0.2">
      <c r="AH333" s="15"/>
      <c r="AI333" s="15"/>
      <c r="AJ333" s="41"/>
      <c r="AK333" s="41"/>
    </row>
    <row r="334" spans="34:37" x14ac:dyDescent="0.2">
      <c r="AH334" s="15"/>
      <c r="AI334" s="15"/>
      <c r="AJ334" s="41"/>
      <c r="AK334" s="41"/>
    </row>
    <row r="335" spans="34:37" x14ac:dyDescent="0.2">
      <c r="AH335" s="15"/>
      <c r="AI335" s="15"/>
      <c r="AJ335" s="41"/>
      <c r="AK335" s="41"/>
    </row>
    <row r="336" spans="34:37" x14ac:dyDescent="0.2">
      <c r="AH336" s="15"/>
      <c r="AI336" s="15"/>
      <c r="AJ336" s="41"/>
      <c r="AK336" s="41"/>
    </row>
    <row r="337" spans="34:37" x14ac:dyDescent="0.2">
      <c r="AH337" s="15"/>
      <c r="AI337" s="15"/>
      <c r="AJ337" s="41"/>
      <c r="AK337" s="41"/>
    </row>
    <row r="338" spans="34:37" x14ac:dyDescent="0.2">
      <c r="AH338" s="15"/>
      <c r="AI338" s="15"/>
      <c r="AJ338" s="41"/>
      <c r="AK338" s="41"/>
    </row>
    <row r="339" spans="34:37" x14ac:dyDescent="0.2">
      <c r="AH339" s="15"/>
      <c r="AI339" s="15"/>
      <c r="AJ339" s="41"/>
      <c r="AK339" s="41"/>
    </row>
    <row r="340" spans="34:37" x14ac:dyDescent="0.2">
      <c r="AH340" s="15"/>
      <c r="AI340" s="15"/>
      <c r="AJ340" s="41"/>
      <c r="AK340" s="41"/>
    </row>
    <row r="341" spans="34:37" x14ac:dyDescent="0.2">
      <c r="AH341" s="15"/>
      <c r="AI341" s="15"/>
      <c r="AJ341" s="41"/>
      <c r="AK341" s="41"/>
    </row>
    <row r="342" spans="34:37" x14ac:dyDescent="0.2">
      <c r="AH342" s="15"/>
      <c r="AI342" s="15"/>
      <c r="AJ342" s="41"/>
      <c r="AK342" s="41"/>
    </row>
    <row r="343" spans="34:37" x14ac:dyDescent="0.2">
      <c r="AH343" s="15"/>
      <c r="AI343" s="15"/>
      <c r="AJ343" s="41"/>
      <c r="AK343" s="41"/>
    </row>
    <row r="344" spans="34:37" x14ac:dyDescent="0.2">
      <c r="AH344" s="15"/>
      <c r="AI344" s="15"/>
      <c r="AJ344" s="41"/>
      <c r="AK344" s="41"/>
    </row>
    <row r="345" spans="34:37" x14ac:dyDescent="0.2">
      <c r="AH345" s="15"/>
      <c r="AI345" s="15"/>
      <c r="AJ345" s="41"/>
      <c r="AK345" s="41"/>
    </row>
    <row r="346" spans="34:37" x14ac:dyDescent="0.2">
      <c r="AH346" s="15"/>
      <c r="AI346" s="15"/>
      <c r="AJ346" s="41"/>
      <c r="AK346" s="41"/>
    </row>
    <row r="347" spans="34:37" x14ac:dyDescent="0.2">
      <c r="AH347" s="15"/>
      <c r="AI347" s="15"/>
      <c r="AJ347" s="41"/>
      <c r="AK347" s="41"/>
    </row>
    <row r="348" spans="34:37" x14ac:dyDescent="0.2">
      <c r="AH348" s="15"/>
      <c r="AI348" s="15"/>
      <c r="AJ348" s="41"/>
      <c r="AK348" s="41"/>
    </row>
    <row r="349" spans="34:37" x14ac:dyDescent="0.2">
      <c r="AH349" s="15"/>
      <c r="AI349" s="15"/>
      <c r="AJ349" s="41"/>
      <c r="AK349" s="41"/>
    </row>
    <row r="350" spans="34:37" x14ac:dyDescent="0.2">
      <c r="AH350" s="15"/>
      <c r="AI350" s="15"/>
      <c r="AJ350" s="41"/>
      <c r="AK350" s="41"/>
    </row>
    <row r="351" spans="34:37" x14ac:dyDescent="0.2">
      <c r="AH351" s="15"/>
      <c r="AI351" s="15"/>
      <c r="AJ351" s="41"/>
      <c r="AK351" s="41"/>
    </row>
    <row r="352" spans="34:37" x14ac:dyDescent="0.2">
      <c r="AH352" s="15"/>
      <c r="AI352" s="15"/>
      <c r="AJ352" s="41"/>
      <c r="AK352" s="41"/>
    </row>
    <row r="353" spans="34:37" x14ac:dyDescent="0.2">
      <c r="AH353" s="15"/>
      <c r="AI353" s="15"/>
      <c r="AJ353" s="41"/>
      <c r="AK353" s="41"/>
    </row>
    <row r="354" spans="34:37" x14ac:dyDescent="0.2">
      <c r="AH354" s="15"/>
      <c r="AI354" s="15"/>
      <c r="AJ354" s="41"/>
      <c r="AK354" s="41"/>
    </row>
    <row r="355" spans="34:37" x14ac:dyDescent="0.2">
      <c r="AH355" s="15"/>
      <c r="AI355" s="15"/>
      <c r="AJ355" s="41"/>
      <c r="AK355" s="41"/>
    </row>
    <row r="356" spans="34:37" x14ac:dyDescent="0.2">
      <c r="AH356" s="15"/>
      <c r="AI356" s="15"/>
      <c r="AJ356" s="41"/>
      <c r="AK356" s="41"/>
    </row>
    <row r="357" spans="34:37" x14ac:dyDescent="0.2">
      <c r="AH357" s="15"/>
      <c r="AI357" s="15"/>
      <c r="AJ357" s="41"/>
      <c r="AK357" s="41"/>
    </row>
    <row r="358" spans="34:37" x14ac:dyDescent="0.2">
      <c r="AH358" s="15"/>
      <c r="AI358" s="15"/>
      <c r="AJ358" s="41"/>
      <c r="AK358" s="41"/>
    </row>
    <row r="359" spans="34:37" x14ac:dyDescent="0.2">
      <c r="AH359" s="15"/>
      <c r="AI359" s="15"/>
      <c r="AJ359" s="41"/>
      <c r="AK359" s="41"/>
    </row>
    <row r="360" spans="34:37" x14ac:dyDescent="0.2">
      <c r="AH360" s="15"/>
      <c r="AI360" s="15"/>
      <c r="AJ360" s="41"/>
      <c r="AK360" s="41"/>
    </row>
    <row r="361" spans="34:37" x14ac:dyDescent="0.2">
      <c r="AH361" s="15"/>
      <c r="AI361" s="15"/>
      <c r="AJ361" s="41"/>
      <c r="AK361" s="41"/>
    </row>
    <row r="362" spans="34:37" x14ac:dyDescent="0.2">
      <c r="AH362" s="15"/>
      <c r="AI362" s="15"/>
      <c r="AJ362" s="41"/>
      <c r="AK362" s="41"/>
    </row>
    <row r="363" spans="34:37" x14ac:dyDescent="0.2">
      <c r="AH363" s="15"/>
      <c r="AI363" s="15"/>
      <c r="AJ363" s="41"/>
      <c r="AK363" s="41"/>
    </row>
    <row r="364" spans="34:37" x14ac:dyDescent="0.2">
      <c r="AH364" s="15"/>
      <c r="AI364" s="15"/>
      <c r="AJ364" s="41"/>
      <c r="AK364" s="41"/>
    </row>
    <row r="365" spans="34:37" x14ac:dyDescent="0.2">
      <c r="AH365" s="15"/>
      <c r="AI365" s="15"/>
      <c r="AJ365" s="41"/>
      <c r="AK365" s="41"/>
    </row>
    <row r="366" spans="34:37" x14ac:dyDescent="0.2">
      <c r="AH366" s="15"/>
      <c r="AI366" s="15"/>
      <c r="AJ366" s="41"/>
      <c r="AK366" s="41"/>
    </row>
    <row r="367" spans="34:37" x14ac:dyDescent="0.2">
      <c r="AH367" s="15"/>
      <c r="AI367" s="15"/>
      <c r="AJ367" s="41"/>
      <c r="AK367" s="41"/>
    </row>
    <row r="368" spans="34:37" x14ac:dyDescent="0.2">
      <c r="AH368" s="15"/>
      <c r="AI368" s="15"/>
      <c r="AJ368" s="41"/>
      <c r="AK368" s="41"/>
    </row>
    <row r="369" spans="34:37" x14ac:dyDescent="0.2">
      <c r="AH369" s="15"/>
      <c r="AI369" s="15"/>
      <c r="AJ369" s="41"/>
      <c r="AK369" s="41"/>
    </row>
    <row r="370" spans="34:37" x14ac:dyDescent="0.2">
      <c r="AH370" s="15"/>
      <c r="AI370" s="15"/>
      <c r="AJ370" s="41"/>
      <c r="AK370" s="41"/>
    </row>
    <row r="371" spans="34:37" x14ac:dyDescent="0.2">
      <c r="AH371" s="15"/>
      <c r="AI371" s="15"/>
      <c r="AJ371" s="41"/>
      <c r="AK371" s="41"/>
    </row>
    <row r="372" spans="34:37" x14ac:dyDescent="0.2">
      <c r="AH372" s="15"/>
      <c r="AI372" s="15"/>
      <c r="AJ372" s="41"/>
      <c r="AK372" s="41"/>
    </row>
    <row r="373" spans="34:37" x14ac:dyDescent="0.2">
      <c r="AH373" s="15"/>
      <c r="AI373" s="15"/>
      <c r="AJ373" s="41"/>
      <c r="AK373" s="41"/>
    </row>
    <row r="374" spans="34:37" x14ac:dyDescent="0.2">
      <c r="AH374" s="15"/>
      <c r="AI374" s="15"/>
      <c r="AJ374" s="41"/>
      <c r="AK374" s="41"/>
    </row>
    <row r="375" spans="34:37" x14ac:dyDescent="0.2">
      <c r="AH375" s="15"/>
      <c r="AI375" s="15"/>
      <c r="AJ375" s="41"/>
      <c r="AK375" s="41"/>
    </row>
    <row r="376" spans="34:37" x14ac:dyDescent="0.2">
      <c r="AH376" s="15"/>
      <c r="AI376" s="15"/>
      <c r="AJ376" s="41"/>
      <c r="AK376" s="41"/>
    </row>
    <row r="377" spans="34:37" x14ac:dyDescent="0.2">
      <c r="AH377" s="15"/>
      <c r="AI377" s="15"/>
      <c r="AJ377" s="41"/>
      <c r="AK377" s="41"/>
    </row>
    <row r="378" spans="34:37" x14ac:dyDescent="0.2">
      <c r="AH378" s="15"/>
      <c r="AI378" s="15"/>
      <c r="AJ378" s="41"/>
      <c r="AK378" s="41"/>
    </row>
    <row r="379" spans="34:37" x14ac:dyDescent="0.2">
      <c r="AH379" s="15"/>
      <c r="AI379" s="15"/>
      <c r="AJ379" s="41"/>
      <c r="AK379" s="41"/>
    </row>
    <row r="380" spans="34:37" x14ac:dyDescent="0.2">
      <c r="AH380" s="15"/>
      <c r="AI380" s="15"/>
      <c r="AJ380" s="41"/>
      <c r="AK380" s="41"/>
    </row>
    <row r="381" spans="34:37" x14ac:dyDescent="0.2">
      <c r="AH381" s="15"/>
      <c r="AI381" s="15"/>
      <c r="AJ381" s="41"/>
      <c r="AK381" s="41"/>
    </row>
    <row r="382" spans="34:37" x14ac:dyDescent="0.2">
      <c r="AH382" s="15"/>
      <c r="AI382" s="15"/>
      <c r="AJ382" s="41"/>
      <c r="AK382" s="41"/>
    </row>
    <row r="383" spans="34:37" x14ac:dyDescent="0.2">
      <c r="AH383" s="15"/>
      <c r="AI383" s="15"/>
      <c r="AJ383" s="41"/>
      <c r="AK383" s="41"/>
    </row>
    <row r="384" spans="34:37" x14ac:dyDescent="0.2">
      <c r="AH384" s="15"/>
      <c r="AI384" s="15"/>
      <c r="AJ384" s="41"/>
      <c r="AK384" s="41"/>
    </row>
    <row r="385" spans="34:37" x14ac:dyDescent="0.2">
      <c r="AH385" s="15"/>
      <c r="AI385" s="15"/>
      <c r="AJ385" s="41"/>
      <c r="AK385" s="41"/>
    </row>
    <row r="386" spans="34:37" x14ac:dyDescent="0.2">
      <c r="AH386" s="15"/>
      <c r="AI386" s="15"/>
      <c r="AJ386" s="41"/>
      <c r="AK386" s="41"/>
    </row>
    <row r="387" spans="34:37" x14ac:dyDescent="0.2">
      <c r="AH387" s="15"/>
      <c r="AI387" s="15"/>
      <c r="AJ387" s="41"/>
      <c r="AK387" s="41"/>
    </row>
    <row r="388" spans="34:37" x14ac:dyDescent="0.2">
      <c r="AH388" s="15"/>
      <c r="AI388" s="15"/>
      <c r="AJ388" s="41"/>
      <c r="AK388" s="41"/>
    </row>
    <row r="389" spans="34:37" x14ac:dyDescent="0.2">
      <c r="AH389" s="15"/>
      <c r="AI389" s="15"/>
      <c r="AJ389" s="41"/>
      <c r="AK389" s="41"/>
    </row>
    <row r="390" spans="34:37" x14ac:dyDescent="0.2">
      <c r="AH390" s="15"/>
      <c r="AI390" s="15"/>
      <c r="AJ390" s="41"/>
      <c r="AK390" s="41"/>
    </row>
    <row r="391" spans="34:37" x14ac:dyDescent="0.2">
      <c r="AH391" s="15"/>
      <c r="AI391" s="15"/>
      <c r="AJ391" s="41"/>
      <c r="AK391" s="41"/>
    </row>
    <row r="392" spans="34:37" x14ac:dyDescent="0.2">
      <c r="AH392" s="15"/>
      <c r="AI392" s="15"/>
      <c r="AJ392" s="41"/>
      <c r="AK392" s="41"/>
    </row>
    <row r="393" spans="34:37" x14ac:dyDescent="0.2">
      <c r="AH393" s="15"/>
      <c r="AI393" s="15"/>
      <c r="AJ393" s="41"/>
      <c r="AK393" s="41"/>
    </row>
    <row r="394" spans="34:37" x14ac:dyDescent="0.2">
      <c r="AH394" s="15"/>
      <c r="AI394" s="15"/>
      <c r="AJ394" s="41"/>
      <c r="AK394" s="41"/>
    </row>
    <row r="395" spans="34:37" x14ac:dyDescent="0.2">
      <c r="AH395" s="15"/>
      <c r="AI395" s="15"/>
      <c r="AJ395" s="41"/>
      <c r="AK395" s="41"/>
    </row>
    <row r="396" spans="34:37" x14ac:dyDescent="0.2">
      <c r="AH396" s="15"/>
      <c r="AI396" s="15"/>
      <c r="AJ396" s="41"/>
      <c r="AK396" s="41"/>
    </row>
    <row r="397" spans="34:37" x14ac:dyDescent="0.2">
      <c r="AH397" s="15"/>
      <c r="AI397" s="15"/>
      <c r="AJ397" s="41"/>
      <c r="AK397" s="41"/>
    </row>
    <row r="398" spans="34:37" x14ac:dyDescent="0.2">
      <c r="AH398" s="15"/>
      <c r="AI398" s="15"/>
      <c r="AJ398" s="41"/>
      <c r="AK398" s="41"/>
    </row>
    <row r="399" spans="34:37" x14ac:dyDescent="0.2">
      <c r="AH399" s="15"/>
      <c r="AI399" s="15"/>
      <c r="AJ399" s="41"/>
      <c r="AK399" s="41"/>
    </row>
    <row r="400" spans="34:37" x14ac:dyDescent="0.2">
      <c r="AH400" s="15"/>
      <c r="AI400" s="15"/>
      <c r="AJ400" s="41"/>
      <c r="AK400" s="41"/>
    </row>
    <row r="401" spans="34:37" x14ac:dyDescent="0.2">
      <c r="AH401" s="15"/>
      <c r="AI401" s="15"/>
      <c r="AJ401" s="41"/>
      <c r="AK401" s="41"/>
    </row>
    <row r="402" spans="34:37" x14ac:dyDescent="0.2">
      <c r="AH402" s="15"/>
      <c r="AI402" s="15"/>
      <c r="AJ402" s="41"/>
      <c r="AK402" s="41"/>
    </row>
    <row r="403" spans="34:37" x14ac:dyDescent="0.2">
      <c r="AH403" s="15"/>
      <c r="AI403" s="15"/>
      <c r="AJ403" s="41"/>
      <c r="AK403" s="41"/>
    </row>
    <row r="404" spans="34:37" x14ac:dyDescent="0.2">
      <c r="AH404" s="15"/>
      <c r="AI404" s="15"/>
      <c r="AJ404" s="41"/>
      <c r="AK404" s="41"/>
    </row>
    <row r="405" spans="34:37" x14ac:dyDescent="0.2">
      <c r="AH405" s="15"/>
      <c r="AI405" s="15"/>
      <c r="AJ405" s="41"/>
      <c r="AK405" s="41"/>
    </row>
    <row r="406" spans="34:37" x14ac:dyDescent="0.2">
      <c r="AH406" s="15"/>
      <c r="AI406" s="15"/>
      <c r="AJ406" s="41"/>
      <c r="AK406" s="41"/>
    </row>
    <row r="407" spans="34:37" x14ac:dyDescent="0.2">
      <c r="AH407" s="15"/>
      <c r="AI407" s="15"/>
      <c r="AJ407" s="41"/>
      <c r="AK407" s="41"/>
    </row>
    <row r="408" spans="34:37" x14ac:dyDescent="0.2">
      <c r="AH408" s="15"/>
      <c r="AI408" s="15"/>
      <c r="AJ408" s="41"/>
      <c r="AK408" s="41"/>
    </row>
    <row r="409" spans="34:37" x14ac:dyDescent="0.2">
      <c r="AH409" s="15"/>
      <c r="AI409" s="15"/>
      <c r="AJ409" s="41"/>
      <c r="AK409" s="41"/>
    </row>
    <row r="410" spans="34:37" x14ac:dyDescent="0.2">
      <c r="AH410" s="15"/>
      <c r="AI410" s="15"/>
      <c r="AJ410" s="41"/>
      <c r="AK410" s="41"/>
    </row>
    <row r="411" spans="34:37" x14ac:dyDescent="0.2">
      <c r="AH411" s="15"/>
      <c r="AI411" s="15"/>
      <c r="AJ411" s="41"/>
      <c r="AK411" s="41"/>
    </row>
    <row r="412" spans="34:37" x14ac:dyDescent="0.2">
      <c r="AH412" s="15"/>
      <c r="AI412" s="15"/>
      <c r="AJ412" s="41"/>
      <c r="AK412" s="41"/>
    </row>
    <row r="413" spans="34:37" x14ac:dyDescent="0.2">
      <c r="AH413" s="15"/>
      <c r="AI413" s="15"/>
      <c r="AJ413" s="41"/>
      <c r="AK413" s="41"/>
    </row>
    <row r="414" spans="34:37" x14ac:dyDescent="0.2">
      <c r="AH414" s="15"/>
      <c r="AI414" s="15"/>
      <c r="AJ414" s="41"/>
      <c r="AK414" s="41"/>
    </row>
    <row r="415" spans="34:37" x14ac:dyDescent="0.2">
      <c r="AH415" s="15"/>
      <c r="AI415" s="15"/>
      <c r="AJ415" s="41"/>
      <c r="AK415" s="41"/>
    </row>
    <row r="416" spans="34:37" x14ac:dyDescent="0.2">
      <c r="AH416" s="15"/>
      <c r="AI416" s="15"/>
      <c r="AJ416" s="41"/>
      <c r="AK416" s="41"/>
    </row>
    <row r="417" spans="34:37" x14ac:dyDescent="0.2">
      <c r="AH417" s="15"/>
      <c r="AI417" s="15"/>
      <c r="AJ417" s="41"/>
      <c r="AK417" s="41"/>
    </row>
    <row r="418" spans="34:37" x14ac:dyDescent="0.2">
      <c r="AH418" s="15"/>
      <c r="AI418" s="15"/>
      <c r="AJ418" s="41"/>
      <c r="AK418" s="41"/>
    </row>
    <row r="419" spans="34:37" x14ac:dyDescent="0.2">
      <c r="AH419" s="15"/>
      <c r="AI419" s="15"/>
      <c r="AJ419" s="41"/>
      <c r="AK419" s="41"/>
    </row>
    <row r="420" spans="34:37" x14ac:dyDescent="0.2">
      <c r="AH420" s="15"/>
      <c r="AI420" s="15"/>
      <c r="AJ420" s="41"/>
      <c r="AK420" s="41"/>
    </row>
    <row r="421" spans="34:37" x14ac:dyDescent="0.2">
      <c r="AH421" s="15"/>
      <c r="AI421" s="15"/>
      <c r="AJ421" s="41"/>
      <c r="AK421" s="41"/>
    </row>
    <row r="422" spans="34:37" x14ac:dyDescent="0.2">
      <c r="AH422" s="15"/>
      <c r="AI422" s="15"/>
      <c r="AJ422" s="41"/>
      <c r="AK422" s="41"/>
    </row>
    <row r="423" spans="34:37" x14ac:dyDescent="0.2">
      <c r="AH423" s="15"/>
      <c r="AI423" s="15"/>
      <c r="AJ423" s="41"/>
      <c r="AK423" s="41"/>
    </row>
    <row r="424" spans="34:37" x14ac:dyDescent="0.2">
      <c r="AH424" s="15"/>
      <c r="AI424" s="15"/>
      <c r="AJ424" s="41"/>
      <c r="AK424" s="41"/>
    </row>
    <row r="425" spans="34:37" x14ac:dyDescent="0.2">
      <c r="AH425" s="15"/>
      <c r="AI425" s="15"/>
      <c r="AJ425" s="41"/>
      <c r="AK425" s="41"/>
    </row>
    <row r="426" spans="34:37" x14ac:dyDescent="0.2">
      <c r="AH426" s="15"/>
      <c r="AI426" s="15"/>
      <c r="AJ426" s="41"/>
      <c r="AK426" s="41"/>
    </row>
    <row r="427" spans="34:37" x14ac:dyDescent="0.2">
      <c r="AH427" s="15"/>
      <c r="AI427" s="15"/>
      <c r="AJ427" s="41"/>
      <c r="AK427" s="41"/>
    </row>
    <row r="428" spans="34:37" x14ac:dyDescent="0.2">
      <c r="AH428" s="15"/>
      <c r="AI428" s="15"/>
      <c r="AJ428" s="41"/>
      <c r="AK428" s="41"/>
    </row>
    <row r="429" spans="34:37" x14ac:dyDescent="0.2">
      <c r="AH429" s="15"/>
      <c r="AI429" s="15"/>
      <c r="AJ429" s="15"/>
      <c r="AK429" s="15"/>
    </row>
    <row r="430" spans="34:37" x14ac:dyDescent="0.2">
      <c r="AH430" s="15"/>
      <c r="AI430" s="15"/>
      <c r="AJ430" s="15"/>
      <c r="AK430" s="15"/>
    </row>
    <row r="431" spans="34:37" x14ac:dyDescent="0.2">
      <c r="AH431" s="15"/>
      <c r="AI431" s="15"/>
      <c r="AJ431" s="15"/>
      <c r="AK431" s="15"/>
    </row>
    <row r="432" spans="34:37" x14ac:dyDescent="0.2">
      <c r="AH432" s="15"/>
      <c r="AI432" s="15"/>
      <c r="AJ432" s="15"/>
      <c r="AK432" s="15"/>
    </row>
    <row r="433" spans="34:37" x14ac:dyDescent="0.2">
      <c r="AH433" s="15"/>
      <c r="AI433" s="15"/>
      <c r="AJ433" s="15"/>
      <c r="AK433" s="15"/>
    </row>
    <row r="434" spans="34:37" x14ac:dyDescent="0.2">
      <c r="AH434" s="15"/>
      <c r="AI434" s="15"/>
      <c r="AJ434" s="15"/>
      <c r="AK434" s="15"/>
    </row>
    <row r="435" spans="34:37" x14ac:dyDescent="0.2">
      <c r="AH435" s="15"/>
      <c r="AI435" s="15"/>
      <c r="AJ435" s="15"/>
      <c r="AK435" s="15"/>
    </row>
    <row r="436" spans="34:37" x14ac:dyDescent="0.2">
      <c r="AH436" s="15"/>
      <c r="AI436" s="15"/>
      <c r="AJ436" s="15"/>
      <c r="AK436" s="15"/>
    </row>
    <row r="437" spans="34:37" x14ac:dyDescent="0.2">
      <c r="AH437" s="15"/>
      <c r="AI437" s="15"/>
      <c r="AJ437" s="15"/>
      <c r="AK437" s="15"/>
    </row>
    <row r="438" spans="34:37" x14ac:dyDescent="0.2">
      <c r="AH438" s="15"/>
      <c r="AI438" s="15"/>
      <c r="AJ438" s="15"/>
      <c r="AK438" s="15"/>
    </row>
    <row r="439" spans="34:37" x14ac:dyDescent="0.2">
      <c r="AH439" s="15"/>
      <c r="AI439" s="15"/>
      <c r="AJ439" s="15"/>
      <c r="AK439" s="15"/>
    </row>
    <row r="440" spans="34:37" x14ac:dyDescent="0.2">
      <c r="AH440" s="15"/>
      <c r="AI440" s="15"/>
      <c r="AJ440" s="15"/>
      <c r="AK440" s="15"/>
    </row>
    <row r="441" spans="34:37" x14ac:dyDescent="0.2">
      <c r="AH441" s="15"/>
      <c r="AI441" s="15"/>
      <c r="AJ441" s="15"/>
      <c r="AK441" s="15"/>
    </row>
    <row r="442" spans="34:37" x14ac:dyDescent="0.2">
      <c r="AH442" s="15"/>
      <c r="AI442" s="15"/>
      <c r="AJ442" s="15"/>
      <c r="AK442" s="15"/>
    </row>
    <row r="443" spans="34:37" x14ac:dyDescent="0.2">
      <c r="AH443" s="15"/>
      <c r="AI443" s="15"/>
      <c r="AJ443" s="15"/>
      <c r="AK443" s="15"/>
    </row>
    <row r="444" spans="34:37" x14ac:dyDescent="0.2">
      <c r="AH444" s="15"/>
      <c r="AI444" s="15"/>
      <c r="AJ444" s="15"/>
      <c r="AK444" s="15"/>
    </row>
    <row r="445" spans="34:37" x14ac:dyDescent="0.2">
      <c r="AH445" s="15"/>
      <c r="AI445" s="15"/>
      <c r="AJ445" s="15"/>
      <c r="AK445" s="15"/>
    </row>
    <row r="446" spans="34:37" x14ac:dyDescent="0.2">
      <c r="AH446" s="15"/>
      <c r="AI446" s="15"/>
      <c r="AJ446" s="15"/>
      <c r="AK446" s="15"/>
    </row>
    <row r="447" spans="34:37" x14ac:dyDescent="0.2">
      <c r="AH447" s="15"/>
      <c r="AI447" s="15"/>
      <c r="AJ447" s="15"/>
      <c r="AK447" s="15"/>
    </row>
    <row r="448" spans="34:37" x14ac:dyDescent="0.2">
      <c r="AH448" s="15"/>
      <c r="AI448" s="15"/>
      <c r="AJ448" s="15"/>
      <c r="AK448" s="15"/>
    </row>
    <row r="449" spans="34:37" x14ac:dyDescent="0.2">
      <c r="AH449" s="15"/>
      <c r="AI449" s="15"/>
      <c r="AJ449" s="15"/>
      <c r="AK449" s="15"/>
    </row>
    <row r="450" spans="34:37" x14ac:dyDescent="0.2">
      <c r="AH450" s="15"/>
      <c r="AI450" s="15"/>
      <c r="AJ450" s="15"/>
      <c r="AK450" s="15"/>
    </row>
    <row r="451" spans="34:37" x14ac:dyDescent="0.2">
      <c r="AH451" s="15"/>
      <c r="AI451" s="15"/>
      <c r="AJ451" s="15"/>
      <c r="AK451" s="15"/>
    </row>
    <row r="452" spans="34:37" x14ac:dyDescent="0.2">
      <c r="AH452" s="15"/>
      <c r="AI452" s="15"/>
      <c r="AJ452" s="15"/>
      <c r="AK452" s="15"/>
    </row>
    <row r="453" spans="34:37" x14ac:dyDescent="0.2">
      <c r="AH453" s="15"/>
      <c r="AI453" s="15"/>
      <c r="AJ453" s="15"/>
      <c r="AK453" s="15"/>
    </row>
    <row r="454" spans="34:37" x14ac:dyDescent="0.2">
      <c r="AH454" s="15"/>
      <c r="AI454" s="15"/>
      <c r="AJ454" s="15"/>
      <c r="AK454" s="15"/>
    </row>
    <row r="455" spans="34:37" x14ac:dyDescent="0.2">
      <c r="AH455" s="15"/>
      <c r="AI455" s="15"/>
      <c r="AJ455" s="15"/>
      <c r="AK455" s="15"/>
    </row>
    <row r="456" spans="34:37" x14ac:dyDescent="0.2">
      <c r="AH456" s="15"/>
      <c r="AI456" s="15"/>
      <c r="AJ456" s="15"/>
      <c r="AK456" s="15"/>
    </row>
    <row r="457" spans="34:37" x14ac:dyDescent="0.2">
      <c r="AH457" s="15"/>
      <c r="AI457" s="15"/>
      <c r="AJ457" s="15"/>
      <c r="AK457" s="15"/>
    </row>
    <row r="458" spans="34:37" x14ac:dyDescent="0.2">
      <c r="AH458" s="15"/>
      <c r="AI458" s="15"/>
      <c r="AJ458" s="15"/>
      <c r="AK458" s="15"/>
    </row>
    <row r="459" spans="34:37" x14ac:dyDescent="0.2">
      <c r="AH459" s="15"/>
      <c r="AI459" s="15"/>
      <c r="AJ459" s="15"/>
      <c r="AK459" s="15"/>
    </row>
    <row r="460" spans="34:37" x14ac:dyDescent="0.2">
      <c r="AH460" s="15"/>
      <c r="AI460" s="15"/>
      <c r="AJ460" s="15"/>
      <c r="AK460" s="15"/>
    </row>
    <row r="461" spans="34:37" x14ac:dyDescent="0.2">
      <c r="AH461" s="15"/>
      <c r="AI461" s="15"/>
      <c r="AJ461" s="15"/>
      <c r="AK461" s="15"/>
    </row>
    <row r="462" spans="34:37" x14ac:dyDescent="0.2">
      <c r="AH462" s="15"/>
      <c r="AI462" s="15"/>
      <c r="AJ462" s="15"/>
      <c r="AK462" s="15"/>
    </row>
    <row r="463" spans="34:37" x14ac:dyDescent="0.2">
      <c r="AH463" s="15"/>
      <c r="AI463" s="15"/>
      <c r="AJ463" s="15"/>
      <c r="AK463" s="15"/>
    </row>
    <row r="464" spans="34:37" x14ac:dyDescent="0.2">
      <c r="AH464" s="15"/>
      <c r="AI464" s="15"/>
      <c r="AJ464" s="15"/>
      <c r="AK464" s="15"/>
    </row>
    <row r="465" spans="34:37" x14ac:dyDescent="0.2">
      <c r="AH465" s="15"/>
      <c r="AI465" s="15"/>
      <c r="AJ465" s="15"/>
      <c r="AK465" s="15"/>
    </row>
    <row r="466" spans="34:37" x14ac:dyDescent="0.2">
      <c r="AH466" s="15"/>
      <c r="AI466" s="15"/>
      <c r="AJ466" s="15"/>
      <c r="AK466" s="15"/>
    </row>
    <row r="467" spans="34:37" x14ac:dyDescent="0.2">
      <c r="AH467" s="15"/>
      <c r="AI467" s="15"/>
      <c r="AJ467" s="15"/>
      <c r="AK467" s="15"/>
    </row>
    <row r="468" spans="34:37" x14ac:dyDescent="0.2">
      <c r="AH468" s="15"/>
      <c r="AI468" s="15"/>
      <c r="AJ468" s="15"/>
      <c r="AK468" s="15"/>
    </row>
    <row r="469" spans="34:37" x14ac:dyDescent="0.2">
      <c r="AH469" s="15"/>
      <c r="AI469" s="15"/>
      <c r="AJ469" s="15"/>
      <c r="AK469" s="15"/>
    </row>
    <row r="470" spans="34:37" x14ac:dyDescent="0.2">
      <c r="AH470" s="15"/>
      <c r="AI470" s="15"/>
      <c r="AJ470" s="15"/>
      <c r="AK470" s="15"/>
    </row>
    <row r="471" spans="34:37" x14ac:dyDescent="0.2">
      <c r="AH471" s="15"/>
      <c r="AI471" s="15"/>
      <c r="AJ471" s="15"/>
      <c r="AK471" s="15"/>
    </row>
    <row r="472" spans="34:37" x14ac:dyDescent="0.2">
      <c r="AH472" s="15"/>
      <c r="AI472" s="15"/>
      <c r="AJ472" s="15"/>
      <c r="AK472" s="15"/>
    </row>
    <row r="473" spans="34:37" x14ac:dyDescent="0.2">
      <c r="AH473" s="15"/>
      <c r="AI473" s="15"/>
      <c r="AJ473" s="15"/>
      <c r="AK473" s="15"/>
    </row>
    <row r="474" spans="34:37" x14ac:dyDescent="0.2">
      <c r="AH474" s="15"/>
      <c r="AI474" s="15"/>
      <c r="AJ474" s="15"/>
      <c r="AK474" s="15"/>
    </row>
    <row r="475" spans="34:37" x14ac:dyDescent="0.2">
      <c r="AH475" s="15"/>
      <c r="AI475" s="15"/>
      <c r="AJ475" s="15"/>
      <c r="AK475" s="15"/>
    </row>
    <row r="476" spans="34:37" x14ac:dyDescent="0.2">
      <c r="AH476" s="15"/>
      <c r="AI476" s="15"/>
      <c r="AJ476" s="15"/>
      <c r="AK476" s="15"/>
    </row>
    <row r="477" spans="34:37" x14ac:dyDescent="0.2">
      <c r="AH477" s="15"/>
      <c r="AI477" s="15"/>
      <c r="AJ477" s="15"/>
      <c r="AK477" s="15"/>
    </row>
    <row r="478" spans="34:37" x14ac:dyDescent="0.2">
      <c r="AH478" s="15"/>
      <c r="AI478" s="15"/>
      <c r="AJ478" s="15"/>
      <c r="AK478" s="15"/>
    </row>
    <row r="479" spans="34:37" x14ac:dyDescent="0.2">
      <c r="AH479" s="15"/>
      <c r="AI479" s="15"/>
      <c r="AJ479" s="15"/>
      <c r="AK479" s="15"/>
    </row>
    <row r="480" spans="34:37" x14ac:dyDescent="0.2">
      <c r="AH480" s="15"/>
      <c r="AI480" s="15"/>
      <c r="AJ480" s="15"/>
      <c r="AK480" s="15"/>
    </row>
    <row r="481" spans="34:37" x14ac:dyDescent="0.2">
      <c r="AH481" s="15"/>
      <c r="AI481" s="15"/>
      <c r="AJ481" s="15"/>
      <c r="AK481" s="15"/>
    </row>
    <row r="482" spans="34:37" x14ac:dyDescent="0.2">
      <c r="AH482" s="15"/>
      <c r="AI482" s="15"/>
      <c r="AJ482" s="15"/>
      <c r="AK482" s="15"/>
    </row>
    <row r="483" spans="34:37" x14ac:dyDescent="0.2">
      <c r="AH483" s="15"/>
      <c r="AI483" s="15"/>
      <c r="AJ483" s="15"/>
      <c r="AK483" s="15"/>
    </row>
    <row r="484" spans="34:37" x14ac:dyDescent="0.2">
      <c r="AH484" s="15"/>
      <c r="AI484" s="15"/>
      <c r="AJ484" s="15"/>
      <c r="AK484" s="15"/>
    </row>
    <row r="485" spans="34:37" x14ac:dyDescent="0.2">
      <c r="AH485" s="15"/>
      <c r="AI485" s="15"/>
      <c r="AJ485" s="15"/>
      <c r="AK485" s="15"/>
    </row>
    <row r="486" spans="34:37" x14ac:dyDescent="0.2">
      <c r="AH486" s="15"/>
      <c r="AI486" s="15"/>
      <c r="AJ486" s="15"/>
      <c r="AK486" s="15"/>
    </row>
    <row r="487" spans="34:37" x14ac:dyDescent="0.2">
      <c r="AH487" s="15"/>
      <c r="AI487" s="15"/>
      <c r="AJ487" s="15"/>
      <c r="AK487" s="15"/>
    </row>
    <row r="488" spans="34:37" x14ac:dyDescent="0.2">
      <c r="AH488" s="15"/>
      <c r="AI488" s="15"/>
      <c r="AJ488" s="15"/>
      <c r="AK488" s="15"/>
    </row>
    <row r="489" spans="34:37" x14ac:dyDescent="0.2">
      <c r="AH489" s="15"/>
      <c r="AI489" s="15"/>
      <c r="AJ489" s="15"/>
      <c r="AK489" s="15"/>
    </row>
    <row r="490" spans="34:37" x14ac:dyDescent="0.2">
      <c r="AH490" s="15"/>
      <c r="AI490" s="15"/>
      <c r="AJ490" s="15"/>
      <c r="AK490" s="15"/>
    </row>
    <row r="491" spans="34:37" x14ac:dyDescent="0.2">
      <c r="AH491" s="15"/>
      <c r="AI491" s="15"/>
      <c r="AJ491" s="15"/>
      <c r="AK491" s="15"/>
    </row>
    <row r="492" spans="34:37" x14ac:dyDescent="0.2">
      <c r="AH492" s="15"/>
      <c r="AI492" s="15"/>
      <c r="AJ492" s="15"/>
      <c r="AK492" s="15"/>
    </row>
    <row r="493" spans="34:37" x14ac:dyDescent="0.2">
      <c r="AH493" s="15"/>
      <c r="AI493" s="15"/>
      <c r="AJ493" s="15"/>
      <c r="AK493" s="15"/>
    </row>
    <row r="494" spans="34:37" x14ac:dyDescent="0.2">
      <c r="AH494" s="15"/>
      <c r="AI494" s="15"/>
      <c r="AJ494" s="15"/>
      <c r="AK494" s="15"/>
    </row>
    <row r="495" spans="34:37" x14ac:dyDescent="0.2">
      <c r="AH495" s="15"/>
      <c r="AI495" s="15"/>
      <c r="AJ495" s="15"/>
      <c r="AK495" s="15"/>
    </row>
    <row r="496" spans="34:37" x14ac:dyDescent="0.2">
      <c r="AH496" s="15"/>
      <c r="AI496" s="15"/>
      <c r="AJ496" s="15"/>
      <c r="AK496" s="15"/>
    </row>
    <row r="497" spans="34:37" x14ac:dyDescent="0.2">
      <c r="AH497" s="15"/>
      <c r="AI497" s="15"/>
      <c r="AJ497" s="15"/>
      <c r="AK497" s="15"/>
    </row>
    <row r="498" spans="34:37" x14ac:dyDescent="0.2">
      <c r="AH498" s="15"/>
      <c r="AI498" s="15"/>
      <c r="AJ498" s="15"/>
      <c r="AK498" s="15"/>
    </row>
    <row r="499" spans="34:37" x14ac:dyDescent="0.2">
      <c r="AH499" s="15"/>
      <c r="AI499" s="15"/>
      <c r="AJ499" s="15"/>
      <c r="AK499" s="15"/>
    </row>
    <row r="500" spans="34:37" x14ac:dyDescent="0.2">
      <c r="AH500" s="15"/>
      <c r="AI500" s="15"/>
      <c r="AJ500" s="15"/>
      <c r="AK500" s="15"/>
    </row>
    <row r="501" spans="34:37" x14ac:dyDescent="0.2">
      <c r="AH501" s="15"/>
      <c r="AI501" s="15"/>
      <c r="AJ501" s="15"/>
      <c r="AK501" s="15"/>
    </row>
    <row r="502" spans="34:37" x14ac:dyDescent="0.2">
      <c r="AH502" s="15"/>
      <c r="AI502" s="15"/>
      <c r="AJ502" s="15"/>
      <c r="AK502" s="15"/>
    </row>
    <row r="503" spans="34:37" x14ac:dyDescent="0.2">
      <c r="AH503" s="15"/>
      <c r="AI503" s="15"/>
      <c r="AJ503" s="15"/>
      <c r="AK503" s="15"/>
    </row>
    <row r="504" spans="34:37" x14ac:dyDescent="0.2">
      <c r="AH504" s="15"/>
      <c r="AI504" s="15"/>
      <c r="AJ504" s="15"/>
      <c r="AK504" s="15"/>
    </row>
    <row r="505" spans="34:37" x14ac:dyDescent="0.2">
      <c r="AH505" s="15"/>
      <c r="AI505" s="15"/>
      <c r="AJ505" s="15"/>
      <c r="AK505" s="15"/>
    </row>
    <row r="506" spans="34:37" x14ac:dyDescent="0.2">
      <c r="AH506" s="15"/>
      <c r="AI506" s="15"/>
      <c r="AJ506" s="15"/>
      <c r="AK506" s="15"/>
    </row>
    <row r="507" spans="34:37" x14ac:dyDescent="0.2">
      <c r="AH507" s="15"/>
      <c r="AI507" s="15"/>
      <c r="AJ507" s="15"/>
      <c r="AK507" s="15"/>
    </row>
    <row r="508" spans="34:37" x14ac:dyDescent="0.2">
      <c r="AH508" s="15"/>
      <c r="AI508" s="15"/>
      <c r="AJ508" s="15"/>
      <c r="AK508" s="15"/>
    </row>
    <row r="509" spans="34:37" x14ac:dyDescent="0.2">
      <c r="AH509" s="15"/>
      <c r="AI509" s="15"/>
      <c r="AJ509" s="15"/>
      <c r="AK509" s="15"/>
    </row>
    <row r="510" spans="34:37" x14ac:dyDescent="0.2">
      <c r="AH510" s="15"/>
      <c r="AI510" s="15"/>
      <c r="AJ510" s="15"/>
      <c r="AK510" s="15"/>
    </row>
    <row r="511" spans="34:37" x14ac:dyDescent="0.2">
      <c r="AH511" s="15"/>
      <c r="AI511" s="15"/>
      <c r="AJ511" s="15"/>
      <c r="AK511" s="15"/>
    </row>
    <row r="512" spans="34:37" x14ac:dyDescent="0.2">
      <c r="AH512" s="15"/>
      <c r="AI512" s="15"/>
      <c r="AJ512" s="15"/>
      <c r="AK512" s="15"/>
    </row>
    <row r="513" spans="34:37" x14ac:dyDescent="0.2">
      <c r="AH513" s="15"/>
      <c r="AI513" s="15"/>
      <c r="AJ513" s="15"/>
      <c r="AK513" s="15"/>
    </row>
    <row r="514" spans="34:37" x14ac:dyDescent="0.2">
      <c r="AH514" s="15"/>
      <c r="AI514" s="15"/>
      <c r="AJ514" s="15"/>
      <c r="AK514" s="15"/>
    </row>
    <row r="515" spans="34:37" x14ac:dyDescent="0.2">
      <c r="AH515" s="15"/>
      <c r="AI515" s="15"/>
      <c r="AJ515" s="15"/>
      <c r="AK515" s="15"/>
    </row>
    <row r="516" spans="34:37" x14ac:dyDescent="0.2">
      <c r="AH516" s="15"/>
      <c r="AI516" s="15"/>
      <c r="AJ516" s="15"/>
      <c r="AK516" s="15"/>
    </row>
    <row r="517" spans="34:37" x14ac:dyDescent="0.2">
      <c r="AH517" s="15"/>
      <c r="AI517" s="15"/>
      <c r="AJ517" s="15"/>
      <c r="AK517" s="15"/>
    </row>
    <row r="518" spans="34:37" x14ac:dyDescent="0.2">
      <c r="AH518" s="15"/>
      <c r="AI518" s="15"/>
      <c r="AJ518" s="15"/>
      <c r="AK518" s="15"/>
    </row>
    <row r="519" spans="34:37" x14ac:dyDescent="0.2">
      <c r="AH519" s="15"/>
      <c r="AI519" s="15"/>
      <c r="AJ519" s="15"/>
      <c r="AK519" s="15"/>
    </row>
    <row r="520" spans="34:37" x14ac:dyDescent="0.2">
      <c r="AH520" s="15"/>
      <c r="AI520" s="15"/>
      <c r="AJ520" s="15"/>
      <c r="AK520" s="15"/>
    </row>
    <row r="521" spans="34:37" x14ac:dyDescent="0.2">
      <c r="AH521" s="15"/>
      <c r="AI521" s="15"/>
      <c r="AJ521" s="15"/>
      <c r="AK521" s="15"/>
    </row>
    <row r="522" spans="34:37" x14ac:dyDescent="0.2">
      <c r="AH522" s="15"/>
      <c r="AI522" s="15"/>
      <c r="AJ522" s="15"/>
      <c r="AK522" s="15"/>
    </row>
    <row r="523" spans="34:37" x14ac:dyDescent="0.2">
      <c r="AH523" s="15"/>
      <c r="AI523" s="15"/>
      <c r="AJ523" s="15"/>
      <c r="AK523" s="15"/>
    </row>
    <row r="524" spans="34:37" x14ac:dyDescent="0.2">
      <c r="AH524" s="15"/>
      <c r="AI524" s="15"/>
      <c r="AJ524" s="15"/>
      <c r="AK524" s="15"/>
    </row>
    <row r="525" spans="34:37" x14ac:dyDescent="0.2">
      <c r="AH525" s="15"/>
      <c r="AI525" s="15"/>
      <c r="AJ525" s="15"/>
      <c r="AK525" s="15"/>
    </row>
    <row r="526" spans="34:37" x14ac:dyDescent="0.2">
      <c r="AH526" s="15"/>
      <c r="AI526" s="15"/>
      <c r="AJ526" s="15"/>
      <c r="AK526" s="15"/>
    </row>
    <row r="527" spans="34:37" x14ac:dyDescent="0.2">
      <c r="AH527" s="15"/>
      <c r="AI527" s="15"/>
      <c r="AJ527" s="15"/>
      <c r="AK527" s="15"/>
    </row>
    <row r="528" spans="34:37" x14ac:dyDescent="0.2">
      <c r="AH528" s="15"/>
      <c r="AI528" s="15"/>
      <c r="AJ528" s="15"/>
      <c r="AK528" s="15"/>
    </row>
    <row r="529" spans="34:37" x14ac:dyDescent="0.2">
      <c r="AH529" s="15"/>
      <c r="AI529" s="15"/>
      <c r="AJ529" s="15"/>
      <c r="AK529" s="15"/>
    </row>
    <row r="530" spans="34:37" x14ac:dyDescent="0.2">
      <c r="AH530" s="15"/>
      <c r="AI530" s="15"/>
      <c r="AJ530" s="15"/>
      <c r="AK530" s="15"/>
    </row>
  </sheetData>
  <mergeCells count="45">
    <mergeCell ref="S16:S17"/>
    <mergeCell ref="T16:T17"/>
    <mergeCell ref="U16:U17"/>
    <mergeCell ref="B26:C27"/>
    <mergeCell ref="G26:G27"/>
    <mergeCell ref="A1:O1"/>
    <mergeCell ref="M55:N55"/>
    <mergeCell ref="O55:P55"/>
    <mergeCell ref="P56:P57"/>
    <mergeCell ref="B40:C41"/>
    <mergeCell ref="F40:F41"/>
    <mergeCell ref="I40:J41"/>
    <mergeCell ref="B49:C50"/>
    <mergeCell ref="G49:G50"/>
    <mergeCell ref="A55:A57"/>
    <mergeCell ref="B55:B57"/>
    <mergeCell ref="C55:D55"/>
    <mergeCell ref="E55:F55"/>
    <mergeCell ref="H55:H57"/>
    <mergeCell ref="Y55:Z55"/>
    <mergeCell ref="C56:C57"/>
    <mergeCell ref="D56:D57"/>
    <mergeCell ref="M56:M57"/>
    <mergeCell ref="N56:N57"/>
    <mergeCell ref="O56:O57"/>
    <mergeCell ref="I55:I57"/>
    <mergeCell ref="J55:J57"/>
    <mergeCell ref="K55:K57"/>
    <mergeCell ref="L55:L57"/>
    <mergeCell ref="W55:X55"/>
    <mergeCell ref="Q55:R55"/>
    <mergeCell ref="S55:T55"/>
    <mergeCell ref="U55:V55"/>
    <mergeCell ref="Y56:Y57"/>
    <mergeCell ref="Z56:Z57"/>
    <mergeCell ref="A83:F83"/>
    <mergeCell ref="A81:F81"/>
    <mergeCell ref="W56:W57"/>
    <mergeCell ref="X56:X57"/>
    <mergeCell ref="U56:U57"/>
    <mergeCell ref="V56:V57"/>
    <mergeCell ref="Q56:Q57"/>
    <mergeCell ref="R56:R57"/>
    <mergeCell ref="S56:S57"/>
    <mergeCell ref="T56:T57"/>
  </mergeCells>
  <phoneticPr fontId="2" type="noConversion"/>
  <pageMargins left="0.7" right="0.7" top="0.75" bottom="0.75" header="0.3" footer="0.3"/>
  <pageSetup paperSize="9" scale="51" orientation="portrait" horizontalDpi="4294967292" verticalDpi="300" r:id="rId1"/>
  <colBreaks count="1" manualBreakCount="1">
    <brk id="16" max="204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9" tint="0.39997558519241921"/>
  </sheetPr>
  <dimension ref="B1:N18"/>
  <sheetViews>
    <sheetView view="pageBreakPreview" zoomScale="60" zoomScaleNormal="100" workbookViewId="0">
      <selection activeCell="C15" sqref="C15"/>
    </sheetView>
  </sheetViews>
  <sheetFormatPr defaultColWidth="9.140625" defaultRowHeight="12.75" x14ac:dyDescent="0.2"/>
  <cols>
    <col min="1" max="1" width="9.140625" style="1"/>
    <col min="2" max="2" width="21" style="1" customWidth="1"/>
    <col min="3" max="3" width="8.7109375" style="1" customWidth="1"/>
    <col min="4" max="4" width="9.140625" style="1"/>
    <col min="5" max="5" width="8.85546875" style="1" customWidth="1"/>
    <col min="6" max="16384" width="9.140625" style="1"/>
  </cols>
  <sheetData>
    <row r="1" spans="2:14" x14ac:dyDescent="0.2">
      <c r="B1" s="12" t="s">
        <v>19</v>
      </c>
    </row>
    <row r="2" spans="2:14" x14ac:dyDescent="0.2">
      <c r="B2" s="558"/>
      <c r="C2" s="558" t="s">
        <v>47</v>
      </c>
      <c r="D2" s="558"/>
      <c r="E2" s="558"/>
      <c r="F2" s="558"/>
      <c r="G2" s="558"/>
      <c r="H2" s="558"/>
      <c r="I2" s="558"/>
      <c r="J2" s="13"/>
      <c r="K2" s="2"/>
    </row>
    <row r="3" spans="2:14" ht="15" x14ac:dyDescent="0.25">
      <c r="B3" s="558"/>
      <c r="C3" s="69" t="s">
        <v>41</v>
      </c>
      <c r="D3" s="69" t="s">
        <v>42</v>
      </c>
      <c r="E3" s="69" t="s">
        <v>43</v>
      </c>
      <c r="F3" s="69" t="s">
        <v>44</v>
      </c>
      <c r="G3" s="69" t="s">
        <v>45</v>
      </c>
      <c r="H3" s="69" t="s">
        <v>46</v>
      </c>
      <c r="I3" s="69" t="s">
        <v>49</v>
      </c>
      <c r="J3" s="75" t="s">
        <v>174</v>
      </c>
      <c r="K3" s="2"/>
    </row>
    <row r="4" spans="2:14" ht="34.5" customHeight="1" x14ac:dyDescent="0.2">
      <c r="B4" s="70" t="s">
        <v>14</v>
      </c>
      <c r="C4" s="554"/>
      <c r="D4" s="555"/>
      <c r="E4" s="555"/>
      <c r="F4" s="555"/>
      <c r="G4" s="555"/>
      <c r="H4" s="555"/>
      <c r="I4" s="556"/>
      <c r="J4" s="71" t="e">
        <f>ROUND(#REF!/1000000,6)</f>
        <v>#REF!</v>
      </c>
      <c r="K4" s="2"/>
      <c r="L4" s="2"/>
      <c r="M4" s="2"/>
      <c r="N4" s="2"/>
    </row>
    <row r="5" spans="2:14" ht="15" customHeight="1" x14ac:dyDescent="0.2">
      <c r="B5" s="70" t="s">
        <v>52</v>
      </c>
      <c r="C5" s="61" t="e">
        <f>#REF!</f>
        <v>#REF!</v>
      </c>
      <c r="D5" s="61" t="e">
        <f>#REF!</f>
        <v>#REF!</v>
      </c>
      <c r="E5" s="61" t="e">
        <f>#REF!</f>
        <v>#REF!</v>
      </c>
      <c r="F5" s="61" t="e">
        <f>#REF!</f>
        <v>#REF!</v>
      </c>
      <c r="G5" s="61" t="e">
        <f>#REF!</f>
        <v>#REF!</v>
      </c>
      <c r="H5" s="61" t="e">
        <f>#REF!</f>
        <v>#REF!</v>
      </c>
      <c r="I5" s="61" t="e">
        <f>#REF!</f>
        <v>#REF!</v>
      </c>
      <c r="J5" s="62" t="e">
        <f>SUM(C5:I5)</f>
        <v>#REF!</v>
      </c>
      <c r="K5" s="2"/>
      <c r="L5" s="2"/>
      <c r="M5" s="78"/>
      <c r="N5" s="2"/>
    </row>
    <row r="6" spans="2:14" ht="15" customHeight="1" x14ac:dyDescent="0.2">
      <c r="B6" s="70" t="s">
        <v>53</v>
      </c>
      <c r="C6" s="62" t="e">
        <f>ROUND((C5+C9),2)</f>
        <v>#REF!</v>
      </c>
      <c r="D6" s="62" t="e">
        <f t="shared" ref="D6:I6" si="0">ROUND((D5+D9),2)</f>
        <v>#REF!</v>
      </c>
      <c r="E6" s="62" t="e">
        <f t="shared" si="0"/>
        <v>#REF!</v>
      </c>
      <c r="F6" s="62" t="e">
        <f t="shared" si="0"/>
        <v>#REF!</v>
      </c>
      <c r="G6" s="62" t="e">
        <f t="shared" si="0"/>
        <v>#REF!</v>
      </c>
      <c r="H6" s="62" t="e">
        <f t="shared" si="0"/>
        <v>#REF!</v>
      </c>
      <c r="I6" s="62" t="e">
        <f t="shared" si="0"/>
        <v>#REF!</v>
      </c>
      <c r="J6" s="62" t="e">
        <f>SUM(C6:I6)</f>
        <v>#REF!</v>
      </c>
      <c r="K6" s="47"/>
      <c r="L6" s="2"/>
      <c r="M6" s="2"/>
      <c r="N6" s="2"/>
    </row>
    <row r="7" spans="2:14" ht="14.25" customHeight="1" x14ac:dyDescent="0.2">
      <c r="B7" s="72" t="s">
        <v>54</v>
      </c>
      <c r="C7" s="73" t="e">
        <f>#REF!</f>
        <v>#REF!</v>
      </c>
      <c r="D7" s="73" t="e">
        <f>#REF!</f>
        <v>#REF!</v>
      </c>
      <c r="E7" s="73" t="e">
        <f>#REF!</f>
        <v>#REF!</v>
      </c>
      <c r="F7" s="73" t="e">
        <f>#REF!</f>
        <v>#REF!</v>
      </c>
      <c r="G7" s="73" t="e">
        <f>#REF!</f>
        <v>#REF!</v>
      </c>
      <c r="H7" s="73" t="e">
        <f>#REF!</f>
        <v>#REF!</v>
      </c>
      <c r="I7" s="73" t="e">
        <f>#REF!</f>
        <v>#REF!</v>
      </c>
      <c r="J7" s="74" t="e">
        <f>C7+D7+E7+F7+G7+H7+I7</f>
        <v>#REF!</v>
      </c>
      <c r="K7" s="2"/>
      <c r="L7" s="2"/>
      <c r="M7" s="2"/>
      <c r="N7" s="2"/>
    </row>
    <row r="8" spans="2:14" ht="14.25" customHeight="1" x14ac:dyDescent="0.2">
      <c r="B8" s="70" t="s">
        <v>55</v>
      </c>
      <c r="C8" s="75" t="e">
        <f>ROUND((((C5+C7)/(100%-2.2%))*2.2%),2)</f>
        <v>#REF!</v>
      </c>
      <c r="D8" s="75" t="e">
        <f t="shared" ref="D8:I8" si="1">ROUND((((D5+D7)/(100%-2.2%))*2.2%),2)</f>
        <v>#REF!</v>
      </c>
      <c r="E8" s="75" t="e">
        <f t="shared" si="1"/>
        <v>#REF!</v>
      </c>
      <c r="F8" s="75" t="e">
        <f t="shared" si="1"/>
        <v>#REF!</v>
      </c>
      <c r="G8" s="75" t="e">
        <f t="shared" si="1"/>
        <v>#REF!</v>
      </c>
      <c r="H8" s="75" t="e">
        <f t="shared" si="1"/>
        <v>#REF!</v>
      </c>
      <c r="I8" s="75" t="e">
        <f t="shared" si="1"/>
        <v>#REF!</v>
      </c>
      <c r="J8" s="62" t="e">
        <f>C8+D8+E8+F8+G8+H8+I8</f>
        <v>#REF!</v>
      </c>
      <c r="K8" s="2"/>
      <c r="L8" s="2"/>
      <c r="M8" s="2"/>
      <c r="N8" s="2"/>
    </row>
    <row r="9" spans="2:14" ht="26.45" customHeight="1" x14ac:dyDescent="0.2">
      <c r="B9" s="7" t="s">
        <v>15</v>
      </c>
      <c r="C9" s="76" t="e">
        <f>C8+C7</f>
        <v>#REF!</v>
      </c>
      <c r="D9" s="76" t="e">
        <f t="shared" ref="D9:I9" si="2">D8+D7</f>
        <v>#REF!</v>
      </c>
      <c r="E9" s="76" t="e">
        <f t="shared" si="2"/>
        <v>#REF!</v>
      </c>
      <c r="F9" s="76" t="e">
        <f t="shared" si="2"/>
        <v>#REF!</v>
      </c>
      <c r="G9" s="76" t="e">
        <f t="shared" si="2"/>
        <v>#REF!</v>
      </c>
      <c r="H9" s="76" t="e">
        <f t="shared" si="2"/>
        <v>#REF!</v>
      </c>
      <c r="I9" s="76" t="e">
        <f t="shared" si="2"/>
        <v>#REF!</v>
      </c>
      <c r="J9" s="76" t="e">
        <f>ROUND(SUM(C9:I9),2)</f>
        <v>#REF!</v>
      </c>
      <c r="K9" s="2"/>
      <c r="L9" s="2"/>
      <c r="M9" s="2"/>
      <c r="N9" s="2"/>
    </row>
    <row r="10" spans="2:14" ht="12.75" customHeight="1" x14ac:dyDescent="0.2">
      <c r="B10" s="7" t="s">
        <v>16</v>
      </c>
      <c r="C10" s="554"/>
      <c r="D10" s="555"/>
      <c r="E10" s="555"/>
      <c r="F10" s="555"/>
      <c r="G10" s="555"/>
      <c r="H10" s="555"/>
      <c r="I10" s="556"/>
      <c r="J10" s="77" t="e">
        <f>J7/(J6-J8)</f>
        <v>#REF!</v>
      </c>
      <c r="K10" s="2"/>
      <c r="L10" s="2"/>
      <c r="M10" s="2"/>
      <c r="N10" s="2"/>
    </row>
    <row r="11" spans="2:14" ht="13.7" customHeight="1" x14ac:dyDescent="0.2">
      <c r="B11" s="8" t="s">
        <v>17</v>
      </c>
      <c r="C11" s="554"/>
      <c r="D11" s="555"/>
      <c r="E11" s="555"/>
      <c r="F11" s="555"/>
      <c r="G11" s="555"/>
      <c r="H11" s="555"/>
      <c r="I11" s="556"/>
      <c r="J11" s="77" t="e">
        <f>J8/J6</f>
        <v>#REF!</v>
      </c>
      <c r="K11" s="2"/>
      <c r="L11" s="2"/>
      <c r="M11" s="2"/>
      <c r="N11" s="2"/>
    </row>
    <row r="12" spans="2:14" x14ac:dyDescent="0.2">
      <c r="B12" s="70" t="s">
        <v>56</v>
      </c>
      <c r="C12" s="557"/>
      <c r="D12" s="557"/>
      <c r="E12" s="557"/>
      <c r="F12" s="557"/>
      <c r="G12" s="557"/>
      <c r="H12" s="557"/>
      <c r="I12" s="557"/>
      <c r="J12" s="75" t="e">
        <f>'расчет УРТ и КПД'!#REF!</f>
        <v>#REF!</v>
      </c>
      <c r="K12" s="2"/>
    </row>
    <row r="13" spans="2:14" x14ac:dyDescent="0.2">
      <c r="K13" s="2"/>
    </row>
    <row r="14" spans="2:14" ht="15.75" customHeight="1" x14ac:dyDescent="0.2">
      <c r="B14" s="50" t="s">
        <v>57</v>
      </c>
      <c r="C14" s="13" t="e">
        <f>ROUND(((C6-C8)*$J$12*7000/8294),0)</f>
        <v>#REF!</v>
      </c>
      <c r="D14" s="13" t="e">
        <f t="shared" ref="D14:I14" si="3">ROUND(((D6-D8)*$J$12*7000/8294),0)</f>
        <v>#REF!</v>
      </c>
      <c r="E14" s="13" t="e">
        <f t="shared" si="3"/>
        <v>#REF!</v>
      </c>
      <c r="F14" s="13" t="e">
        <f t="shared" si="3"/>
        <v>#REF!</v>
      </c>
      <c r="G14" s="13" t="e">
        <f t="shared" si="3"/>
        <v>#REF!</v>
      </c>
      <c r="H14" s="13" t="e">
        <f t="shared" si="3"/>
        <v>#REF!</v>
      </c>
      <c r="I14" s="13" t="e">
        <f t="shared" si="3"/>
        <v>#REF!</v>
      </c>
      <c r="J14" s="13" t="e">
        <f>SUM(C14:I14)</f>
        <v>#REF!</v>
      </c>
      <c r="K14" s="2"/>
    </row>
    <row r="18" spans="2:7" ht="15" x14ac:dyDescent="0.25">
      <c r="B18" s="3" t="s">
        <v>10</v>
      </c>
      <c r="G18" s="65" t="s">
        <v>11</v>
      </c>
    </row>
  </sheetData>
  <mergeCells count="6">
    <mergeCell ref="C11:I11"/>
    <mergeCell ref="C12:I12"/>
    <mergeCell ref="B2:B3"/>
    <mergeCell ref="C2:I2"/>
    <mergeCell ref="C4:I4"/>
    <mergeCell ref="C10:I10"/>
  </mergeCells>
  <phoneticPr fontId="2" type="noConversion"/>
  <pageMargins left="0.7" right="0.7" top="0.75" bottom="0.75" header="0.3" footer="0.3"/>
  <pageSetup paperSize="9" scale="87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9" tint="0.39997558519241921"/>
  </sheetPr>
  <dimension ref="A1:AK510"/>
  <sheetViews>
    <sheetView view="pageBreakPreview" topLeftCell="A43" zoomScale="60" zoomScaleNormal="78" workbookViewId="0">
      <selection activeCell="M18" sqref="M18"/>
    </sheetView>
  </sheetViews>
  <sheetFormatPr defaultColWidth="9.140625" defaultRowHeight="12.75" x14ac:dyDescent="0.2"/>
  <cols>
    <col min="1" max="1" width="11.140625" style="1" customWidth="1"/>
    <col min="2" max="2" width="13.42578125" style="1" customWidth="1"/>
    <col min="3" max="3" width="12.5703125" style="1" customWidth="1"/>
    <col min="4" max="4" width="13.5703125" style="1" customWidth="1"/>
    <col min="5" max="5" width="11" style="1" customWidth="1"/>
    <col min="6" max="6" width="10.85546875" style="1" customWidth="1"/>
    <col min="7" max="7" width="12.5703125" style="1" customWidth="1"/>
    <col min="8" max="8" width="7.140625" style="1" customWidth="1"/>
    <col min="9" max="9" width="8.140625" style="1" customWidth="1"/>
    <col min="10" max="10" width="13.28515625" style="1" customWidth="1"/>
    <col min="11" max="11" width="10.28515625" style="1" customWidth="1"/>
    <col min="12" max="12" width="9.5703125" style="1" customWidth="1"/>
    <col min="13" max="13" width="10.5703125" style="1" customWidth="1"/>
    <col min="14" max="14" width="9.5703125" style="1" customWidth="1"/>
    <col min="15" max="15" width="10.5703125" style="1" customWidth="1"/>
    <col min="16" max="16" width="10.7109375" style="1" customWidth="1"/>
    <col min="17" max="17" width="11.7109375" style="1" customWidth="1"/>
    <col min="18" max="18" width="9.140625" style="1"/>
    <col min="19" max="19" width="10.85546875" style="1" customWidth="1"/>
    <col min="20" max="20" width="10" style="1" customWidth="1"/>
    <col min="21" max="21" width="9.42578125" style="1" customWidth="1"/>
    <col min="22" max="22" width="11.42578125" style="1" customWidth="1"/>
    <col min="23" max="23" width="9.7109375" style="1" customWidth="1"/>
    <col min="24" max="25" width="9.140625" style="1"/>
    <col min="26" max="26" width="10.7109375" style="1" customWidth="1"/>
    <col min="27" max="27" width="18" style="1" customWidth="1"/>
    <col min="28" max="28" width="9.140625" style="1"/>
    <col min="29" max="29" width="10.7109375" style="1" customWidth="1"/>
    <col min="30" max="31" width="9.140625" style="1"/>
    <col min="32" max="32" width="6.7109375" style="1" customWidth="1"/>
    <col min="33" max="36" width="9.140625" style="1"/>
    <col min="37" max="37" width="12.85546875" style="1" customWidth="1"/>
    <col min="38" max="16384" width="9.140625" style="1"/>
  </cols>
  <sheetData>
    <row r="1" spans="1:27" s="97" customFormat="1" ht="20.25" x14ac:dyDescent="0.3">
      <c r="A1" s="579" t="s">
        <v>27</v>
      </c>
      <c r="B1" s="579"/>
      <c r="C1" s="579"/>
      <c r="D1" s="579"/>
      <c r="E1" s="579"/>
      <c r="F1" s="579"/>
      <c r="G1" s="579"/>
      <c r="H1" s="579"/>
      <c r="I1" s="579"/>
      <c r="J1" s="579"/>
      <c r="K1" s="579"/>
      <c r="L1" s="579"/>
      <c r="M1" s="579"/>
      <c r="N1" s="579"/>
      <c r="O1" s="579"/>
      <c r="P1" s="95"/>
      <c r="Q1" s="95"/>
      <c r="R1" s="95"/>
      <c r="S1" s="95"/>
      <c r="T1" s="96"/>
      <c r="U1" s="96"/>
      <c r="V1" s="96"/>
      <c r="W1" s="96"/>
      <c r="X1" s="96"/>
      <c r="Y1" s="96"/>
      <c r="Z1" s="96"/>
      <c r="AA1" s="96"/>
    </row>
    <row r="2" spans="1:27" s="97" customFormat="1" ht="20.25" x14ac:dyDescent="0.3">
      <c r="A2" s="95"/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</row>
    <row r="3" spans="1:27" s="97" customFormat="1" ht="20.25" x14ac:dyDescent="0.3">
      <c r="A3" s="95"/>
      <c r="B3" s="81"/>
      <c r="C3" s="81" t="s">
        <v>74</v>
      </c>
      <c r="D3" s="98" t="s">
        <v>75</v>
      </c>
      <c r="E3" s="81" t="s">
        <v>76</v>
      </c>
      <c r="F3" s="81" t="s">
        <v>77</v>
      </c>
      <c r="G3" s="84" t="s">
        <v>78</v>
      </c>
      <c r="H3" s="81" t="s">
        <v>79</v>
      </c>
      <c r="I3" s="84" t="s">
        <v>80</v>
      </c>
      <c r="J3" s="65"/>
      <c r="K3" s="99"/>
      <c r="L3" s="99"/>
      <c r="M3" s="100"/>
      <c r="N3" s="100"/>
      <c r="O3" s="95"/>
      <c r="P3" s="95"/>
      <c r="Q3" s="96"/>
      <c r="R3" s="66" t="s">
        <v>81</v>
      </c>
      <c r="S3" s="96"/>
      <c r="T3" s="66"/>
      <c r="U3" s="96"/>
      <c r="V3" s="96"/>
      <c r="W3" s="96"/>
      <c r="X3" s="96"/>
      <c r="Y3" s="96"/>
      <c r="Z3" s="96"/>
      <c r="AA3" s="96"/>
    </row>
    <row r="4" spans="1:27" s="97" customFormat="1" ht="20.25" x14ac:dyDescent="0.3">
      <c r="A4" s="95"/>
      <c r="B4" s="76" t="s">
        <v>41</v>
      </c>
      <c r="C4" s="75" t="e">
        <f>I4*24</f>
        <v>#REF!</v>
      </c>
      <c r="D4" s="101" t="e">
        <f>#REF!</f>
        <v>#REF!</v>
      </c>
      <c r="E4" s="101">
        <v>62</v>
      </c>
      <c r="F4" s="101">
        <v>49</v>
      </c>
      <c r="G4" s="101">
        <v>4.7</v>
      </c>
      <c r="H4" s="101">
        <v>5</v>
      </c>
      <c r="I4" s="101" t="e">
        <f>#REF!</f>
        <v>#REF!</v>
      </c>
      <c r="J4" s="100"/>
      <c r="K4" s="100"/>
      <c r="L4" s="100"/>
      <c r="M4" s="100"/>
      <c r="N4" s="95"/>
      <c r="O4" s="95"/>
      <c r="P4" s="96"/>
      <c r="Q4" s="96"/>
      <c r="R4" s="96"/>
      <c r="S4" s="96"/>
      <c r="T4" s="96"/>
      <c r="U4" s="96"/>
      <c r="V4" s="96"/>
      <c r="W4" s="96"/>
      <c r="X4" s="96"/>
      <c r="Y4" s="96"/>
      <c r="Z4" s="96"/>
      <c r="AA4" s="96"/>
    </row>
    <row r="5" spans="1:27" s="97" customFormat="1" ht="20.25" x14ac:dyDescent="0.3">
      <c r="A5" s="95"/>
      <c r="B5" s="76" t="s">
        <v>42</v>
      </c>
      <c r="C5" s="75" t="e">
        <f t="shared" ref="C5:C10" si="0">I5*24</f>
        <v>#REF!</v>
      </c>
      <c r="D5" s="101" t="e">
        <f>#REF!</f>
        <v>#REF!</v>
      </c>
      <c r="E5" s="101">
        <v>57</v>
      </c>
      <c r="F5" s="101">
        <v>46</v>
      </c>
      <c r="G5" s="101">
        <v>3.4</v>
      </c>
      <c r="H5" s="101">
        <v>5</v>
      </c>
      <c r="I5" s="101" t="e">
        <f>#REF!</f>
        <v>#REF!</v>
      </c>
      <c r="J5" s="100"/>
      <c r="K5" s="100"/>
      <c r="L5" s="100"/>
      <c r="M5" s="100"/>
      <c r="N5" s="95"/>
      <c r="O5" s="95"/>
      <c r="P5" s="96"/>
      <c r="Q5" s="96"/>
      <c r="R5" s="102" t="s">
        <v>82</v>
      </c>
      <c r="S5" s="96"/>
      <c r="T5" s="96"/>
      <c r="U5" s="96"/>
      <c r="V5" s="96"/>
      <c r="W5" s="96"/>
      <c r="X5" s="66" t="s">
        <v>83</v>
      </c>
      <c r="Y5" s="96"/>
      <c r="Z5" s="96"/>
      <c r="AA5" s="96"/>
    </row>
    <row r="6" spans="1:27" s="97" customFormat="1" ht="20.25" x14ac:dyDescent="0.3">
      <c r="A6" s="95"/>
      <c r="B6" s="76" t="s">
        <v>43</v>
      </c>
      <c r="C6" s="75" t="e">
        <f t="shared" si="0"/>
        <v>#REF!</v>
      </c>
      <c r="D6" s="101" t="e">
        <f>#REF!</f>
        <v>#REF!</v>
      </c>
      <c r="E6" s="101">
        <v>49</v>
      </c>
      <c r="F6" s="101">
        <v>41</v>
      </c>
      <c r="G6" s="101">
        <v>5.6</v>
      </c>
      <c r="H6" s="101">
        <v>5</v>
      </c>
      <c r="I6" s="101" t="e">
        <f>#REF!</f>
        <v>#REF!</v>
      </c>
      <c r="J6" s="100"/>
      <c r="K6" s="100"/>
      <c r="L6" s="100"/>
      <c r="M6" s="100"/>
      <c r="N6" s="95"/>
      <c r="O6" s="95"/>
      <c r="P6" s="96"/>
      <c r="Q6" s="96"/>
      <c r="R6" s="96"/>
      <c r="S6" s="96"/>
      <c r="T6" s="96"/>
      <c r="U6" s="96"/>
      <c r="V6" s="96"/>
      <c r="W6" s="96"/>
      <c r="X6" s="96"/>
      <c r="Y6" s="96"/>
      <c r="Z6" s="96"/>
      <c r="AA6" s="96"/>
    </row>
    <row r="7" spans="1:27" s="97" customFormat="1" ht="20.25" x14ac:dyDescent="0.3">
      <c r="A7" s="95"/>
      <c r="B7" s="76" t="s">
        <v>44</v>
      </c>
      <c r="C7" s="75" t="e">
        <f t="shared" si="0"/>
        <v>#REF!</v>
      </c>
      <c r="D7" s="101" t="e">
        <f>#REF!</f>
        <v>#REF!</v>
      </c>
      <c r="E7" s="101">
        <v>42</v>
      </c>
      <c r="F7" s="101">
        <v>36</v>
      </c>
      <c r="G7" s="101">
        <v>6.1</v>
      </c>
      <c r="H7" s="101">
        <v>5</v>
      </c>
      <c r="I7" s="101" t="e">
        <f>#REF!</f>
        <v>#REF!</v>
      </c>
      <c r="J7" s="100"/>
      <c r="K7" s="100"/>
      <c r="L7" s="100"/>
      <c r="M7" s="100"/>
      <c r="N7" s="95"/>
      <c r="O7" s="95"/>
      <c r="P7" s="96"/>
      <c r="Q7" s="96"/>
      <c r="R7" s="96"/>
      <c r="S7" s="102" t="s">
        <v>84</v>
      </c>
      <c r="T7" s="96"/>
      <c r="U7" s="96"/>
      <c r="V7" s="66" t="s">
        <v>85</v>
      </c>
      <c r="W7" s="96"/>
      <c r="X7" s="96"/>
      <c r="Y7" s="96"/>
      <c r="Z7" s="96"/>
      <c r="AA7" s="96"/>
    </row>
    <row r="8" spans="1:27" s="97" customFormat="1" ht="20.25" x14ac:dyDescent="0.3">
      <c r="A8" s="95"/>
      <c r="B8" s="76" t="s">
        <v>45</v>
      </c>
      <c r="C8" s="75" t="e">
        <f t="shared" si="0"/>
        <v>#REF!</v>
      </c>
      <c r="D8" s="101" t="e">
        <f>#REF!</f>
        <v>#REF!</v>
      </c>
      <c r="E8" s="101">
        <v>47</v>
      </c>
      <c r="F8" s="101">
        <v>40</v>
      </c>
      <c r="G8" s="101">
        <v>14.3</v>
      </c>
      <c r="H8" s="101">
        <v>5</v>
      </c>
      <c r="I8" s="101" t="e">
        <f>#REF!</f>
        <v>#REF!</v>
      </c>
      <c r="J8" s="100"/>
      <c r="K8" s="100"/>
      <c r="L8" s="100"/>
      <c r="M8" s="100"/>
      <c r="N8" s="95"/>
      <c r="O8" s="95"/>
      <c r="P8" s="96"/>
      <c r="Q8" s="96"/>
      <c r="R8" s="96"/>
      <c r="S8" s="96"/>
      <c r="T8" s="96"/>
      <c r="U8" s="96"/>
      <c r="V8" s="96"/>
      <c r="W8" s="96"/>
      <c r="X8" s="96"/>
      <c r="Y8" s="96"/>
      <c r="Z8" s="96"/>
      <c r="AA8" s="96"/>
    </row>
    <row r="9" spans="1:27" s="97" customFormat="1" ht="20.25" x14ac:dyDescent="0.3">
      <c r="A9" s="95"/>
      <c r="B9" s="76" t="s">
        <v>46</v>
      </c>
      <c r="C9" s="75" t="e">
        <f t="shared" si="0"/>
        <v>#REF!</v>
      </c>
      <c r="D9" s="101" t="e">
        <f>#REF!</f>
        <v>#REF!</v>
      </c>
      <c r="E9" s="101">
        <v>50</v>
      </c>
      <c r="F9" s="101">
        <v>41</v>
      </c>
      <c r="G9" s="101">
        <v>10.199999999999999</v>
      </c>
      <c r="H9" s="101">
        <v>5</v>
      </c>
      <c r="I9" s="101" t="e">
        <f>#REF!</f>
        <v>#REF!</v>
      </c>
      <c r="J9" s="100"/>
      <c r="K9" s="100"/>
      <c r="L9" s="100"/>
      <c r="M9" s="100"/>
      <c r="N9" s="95"/>
      <c r="O9" s="95"/>
      <c r="P9" s="96"/>
      <c r="Q9" s="96"/>
      <c r="R9" s="103" t="s">
        <v>86</v>
      </c>
      <c r="S9" s="96"/>
      <c r="T9" s="96"/>
      <c r="U9" s="96"/>
      <c r="V9" s="96"/>
      <c r="W9" s="96"/>
      <c r="X9" s="96"/>
      <c r="Y9" s="96"/>
      <c r="Z9" s="96"/>
      <c r="AA9" s="96"/>
    </row>
    <row r="10" spans="1:27" s="97" customFormat="1" ht="20.25" x14ac:dyDescent="0.3">
      <c r="A10" s="95"/>
      <c r="B10" s="76" t="s">
        <v>49</v>
      </c>
      <c r="C10" s="75" t="e">
        <f t="shared" si="0"/>
        <v>#REF!</v>
      </c>
      <c r="D10" s="101" t="e">
        <f>#REF!</f>
        <v>#REF!</v>
      </c>
      <c r="E10" s="101">
        <v>56</v>
      </c>
      <c r="F10" s="101">
        <v>46</v>
      </c>
      <c r="G10" s="101">
        <v>7</v>
      </c>
      <c r="H10" s="101">
        <v>5</v>
      </c>
      <c r="I10" s="101" t="e">
        <f>#REF!</f>
        <v>#REF!</v>
      </c>
      <c r="J10" s="100"/>
      <c r="K10" s="100"/>
      <c r="L10" s="100"/>
      <c r="M10" s="100"/>
      <c r="N10" s="95"/>
      <c r="O10" s="95"/>
      <c r="P10" s="96"/>
      <c r="Q10" s="96"/>
      <c r="R10" s="96"/>
      <c r="S10" s="96"/>
      <c r="T10" s="96"/>
      <c r="U10" s="96"/>
      <c r="V10" s="96"/>
      <c r="W10" s="96"/>
      <c r="X10" s="96"/>
      <c r="Y10" s="96"/>
      <c r="Z10" s="96"/>
      <c r="AA10" s="96"/>
    </row>
    <row r="11" spans="1:27" s="97" customFormat="1" ht="20.25" x14ac:dyDescent="0.3">
      <c r="A11" s="95"/>
      <c r="B11" s="76"/>
      <c r="C11" s="75" t="e">
        <f>SUM(C4:C10)</f>
        <v>#REF!</v>
      </c>
      <c r="D11" s="104" t="e">
        <f>ROUND((D4*I4+D5*I5+D6*I6+D7*I7+D8*I8+D9*I9+D10*I10)/I11,1)</f>
        <v>#REF!</v>
      </c>
      <c r="E11" s="104" t="e">
        <f>ROUND((E4*I4+E5*I5+E6*I6+E7*I7+E8*I8+E9*I9+E10*I10)/I11,1)</f>
        <v>#REF!</v>
      </c>
      <c r="F11" s="104" t="e">
        <f>ROUND((F4*I4+F5*I5+F6*I6+F7*I7+F8*I8+F9*I9+F10*I10)/I11,1)</f>
        <v>#REF!</v>
      </c>
      <c r="G11" s="104" t="e">
        <f>ROUND((G4*I4+G5*I5+G6*I6+G7*I7+G8*I8+G9*I9+G10*I10)/I11,1)</f>
        <v>#REF!</v>
      </c>
      <c r="H11" s="104">
        <f>AVERAGE(H4:H10)</f>
        <v>5</v>
      </c>
      <c r="I11" s="104" t="e">
        <f>SUM(I4:I10)</f>
        <v>#REF!</v>
      </c>
      <c r="J11" s="100"/>
      <c r="K11" s="100"/>
      <c r="L11" s="100"/>
      <c r="M11" s="100"/>
      <c r="N11" s="95"/>
      <c r="O11" s="95"/>
      <c r="P11" s="96"/>
      <c r="Q11" s="96"/>
      <c r="R11" s="96"/>
      <c r="S11" s="66" t="s">
        <v>87</v>
      </c>
      <c r="T11" s="102"/>
      <c r="U11" s="96"/>
      <c r="V11" s="96"/>
      <c r="W11" s="96"/>
      <c r="X11" s="96"/>
      <c r="Y11" s="96"/>
      <c r="Z11" s="96"/>
      <c r="AA11" s="96"/>
    </row>
    <row r="12" spans="1:27" s="107" customFormat="1" ht="20.25" x14ac:dyDescent="0.3">
      <c r="A12" s="100"/>
      <c r="B12" s="85"/>
      <c r="C12" s="88"/>
      <c r="D12" s="105"/>
      <c r="E12" s="105"/>
      <c r="F12" s="105"/>
      <c r="G12" s="105"/>
      <c r="H12" s="105"/>
      <c r="I12" s="105"/>
      <c r="J12" s="100"/>
      <c r="K12" s="100"/>
      <c r="L12" s="100"/>
      <c r="M12" s="100"/>
      <c r="N12" s="100"/>
      <c r="O12" s="100"/>
      <c r="P12" s="106"/>
      <c r="Q12" s="106"/>
      <c r="R12" s="106"/>
      <c r="S12" s="106"/>
      <c r="T12" s="106"/>
      <c r="U12" s="106"/>
      <c r="V12" s="106"/>
      <c r="W12" s="106"/>
      <c r="X12" s="106"/>
      <c r="Y12" s="106"/>
      <c r="Z12" s="106"/>
      <c r="AA12" s="106"/>
    </row>
    <row r="13" spans="1:27" s="112" customFormat="1" ht="15" x14ac:dyDescent="0.25">
      <c r="A13" s="108"/>
      <c r="B13" s="109" t="s">
        <v>88</v>
      </c>
      <c r="C13" s="109"/>
      <c r="D13" s="110"/>
      <c r="E13" s="65"/>
      <c r="F13" s="111"/>
      <c r="G13" s="111"/>
      <c r="H13" s="111"/>
      <c r="I13" s="111"/>
      <c r="J13" s="109"/>
      <c r="K13" s="109"/>
      <c r="L13" s="109"/>
      <c r="M13" s="109"/>
      <c r="N13" s="109"/>
      <c r="O13" s="109"/>
      <c r="P13" s="110"/>
      <c r="Q13" s="110"/>
      <c r="R13" s="110"/>
      <c r="S13" s="110"/>
      <c r="T13" s="110"/>
      <c r="U13" s="110"/>
      <c r="V13" s="110"/>
      <c r="W13" s="110"/>
      <c r="X13" s="110"/>
      <c r="Y13" s="110"/>
      <c r="Z13" s="110"/>
      <c r="AA13" s="110"/>
    </row>
    <row r="14" spans="1:27" s="107" customFormat="1" ht="8.4499999999999993" customHeight="1" x14ac:dyDescent="0.3">
      <c r="A14" s="113"/>
      <c r="B14" s="100"/>
      <c r="C14" s="100"/>
      <c r="D14" s="85"/>
      <c r="E14" s="88"/>
      <c r="F14" s="105"/>
      <c r="G14" s="105"/>
      <c r="H14" s="105"/>
      <c r="I14" s="105"/>
      <c r="J14" s="100"/>
      <c r="K14" s="100"/>
      <c r="L14" s="100"/>
      <c r="M14" s="100"/>
      <c r="N14" s="100"/>
      <c r="O14" s="100"/>
      <c r="P14" s="106"/>
      <c r="Q14" s="106"/>
      <c r="R14" s="106"/>
      <c r="S14" s="106"/>
      <c r="T14" s="106"/>
      <c r="U14" s="106"/>
      <c r="V14" s="106"/>
      <c r="W14" s="106"/>
      <c r="X14" s="106"/>
      <c r="Y14" s="106"/>
      <c r="Z14" s="106"/>
      <c r="AA14" s="106"/>
    </row>
    <row r="15" spans="1:27" s="118" customFormat="1" ht="15.75" x14ac:dyDescent="0.25">
      <c r="A15" s="113" t="s">
        <v>32</v>
      </c>
      <c r="B15" s="102"/>
      <c r="C15" s="114"/>
      <c r="D15" s="115"/>
      <c r="E15" s="116"/>
      <c r="F15" s="117"/>
      <c r="G15" s="117"/>
      <c r="H15" s="117"/>
      <c r="I15" s="117"/>
      <c r="J15" s="114"/>
      <c r="K15" s="114"/>
      <c r="L15" s="114"/>
      <c r="M15" s="114"/>
      <c r="N15" s="114"/>
      <c r="O15" s="114"/>
      <c r="P15" s="115"/>
      <c r="Q15" s="115"/>
      <c r="R15" s="115"/>
      <c r="S15" s="115"/>
      <c r="T15" s="115"/>
      <c r="U15" s="115"/>
      <c r="V15" s="115"/>
      <c r="W15" s="115"/>
      <c r="X15" s="115"/>
      <c r="Y15" s="115"/>
      <c r="Z15" s="115"/>
      <c r="AA15" s="115"/>
    </row>
    <row r="16" spans="1:27" s="118" customFormat="1" ht="9.75" customHeight="1" x14ac:dyDescent="0.25">
      <c r="A16" s="114"/>
      <c r="B16" s="102"/>
      <c r="C16" s="114"/>
      <c r="D16" s="115"/>
      <c r="E16" s="116"/>
      <c r="F16" s="117"/>
      <c r="G16" s="117"/>
      <c r="H16" s="117"/>
      <c r="I16" s="117"/>
      <c r="J16" s="114"/>
      <c r="K16" s="114"/>
      <c r="L16" s="114"/>
      <c r="M16" s="114"/>
      <c r="N16" s="114"/>
      <c r="O16" s="114"/>
      <c r="P16" s="115"/>
      <c r="Q16" s="115"/>
      <c r="R16" s="115"/>
      <c r="S16" s="589" t="s">
        <v>89</v>
      </c>
      <c r="T16" s="590" t="s">
        <v>90</v>
      </c>
      <c r="U16" s="591" t="s">
        <v>91</v>
      </c>
      <c r="V16" s="115"/>
      <c r="W16" s="115"/>
      <c r="X16" s="115"/>
      <c r="Y16" s="115"/>
      <c r="Z16" s="115"/>
      <c r="AA16" s="115"/>
    </row>
    <row r="17" spans="1:27" s="107" customFormat="1" ht="15.75" customHeight="1" x14ac:dyDescent="0.3">
      <c r="A17" s="100"/>
      <c r="B17" s="119"/>
      <c r="C17" s="119"/>
      <c r="D17" s="64"/>
      <c r="E17" s="88"/>
      <c r="F17" s="120"/>
      <c r="G17" s="121"/>
      <c r="H17" s="90"/>
      <c r="I17" s="122"/>
      <c r="J17" s="100"/>
      <c r="K17" s="100"/>
      <c r="L17" s="100"/>
      <c r="M17" s="100"/>
      <c r="N17" s="100"/>
      <c r="O17" s="100"/>
      <c r="P17" s="106"/>
      <c r="Q17" s="85"/>
      <c r="R17" s="86"/>
      <c r="S17" s="589"/>
      <c r="T17" s="589"/>
      <c r="U17" s="592"/>
      <c r="V17" s="87"/>
      <c r="W17" s="88"/>
      <c r="X17" s="89"/>
      <c r="Y17" s="106"/>
      <c r="Z17" s="106"/>
      <c r="AA17" s="106"/>
    </row>
    <row r="18" spans="1:27" s="107" customFormat="1" ht="20.25" x14ac:dyDescent="0.3">
      <c r="A18" s="113" t="s">
        <v>92</v>
      </c>
      <c r="B18" s="119"/>
      <c r="C18" s="119"/>
      <c r="D18" s="64"/>
      <c r="E18" s="88"/>
      <c r="F18" s="120"/>
      <c r="G18" s="121"/>
      <c r="H18" s="90"/>
      <c r="I18" s="122"/>
      <c r="J18" s="100"/>
      <c r="K18" s="100"/>
      <c r="L18" s="100"/>
      <c r="M18" s="100"/>
      <c r="N18" s="100"/>
      <c r="O18" s="100"/>
      <c r="P18" s="106"/>
      <c r="Q18" s="85"/>
      <c r="R18" s="86"/>
      <c r="S18" s="75">
        <v>10</v>
      </c>
      <c r="T18" s="82">
        <v>16</v>
      </c>
      <c r="U18" s="67">
        <v>7.85E-2</v>
      </c>
      <c r="V18" s="87"/>
      <c r="W18" s="88"/>
      <c r="X18" s="89"/>
      <c r="Y18" s="106"/>
      <c r="Z18" s="106"/>
      <c r="AA18" s="106"/>
    </row>
    <row r="19" spans="1:27" s="107" customFormat="1" ht="15.75" customHeight="1" x14ac:dyDescent="0.3">
      <c r="A19" s="113"/>
      <c r="B19" s="119"/>
      <c r="C19" s="119"/>
      <c r="D19" s="64"/>
      <c r="E19" s="88"/>
      <c r="F19" s="120"/>
      <c r="G19" s="121"/>
      <c r="H19" s="90"/>
      <c r="I19" s="122"/>
      <c r="J19" s="100"/>
      <c r="K19" s="100"/>
      <c r="L19" s="100"/>
      <c r="M19" s="100"/>
      <c r="N19" s="100"/>
      <c r="O19" s="100"/>
      <c r="P19" s="106"/>
      <c r="Q19" s="85"/>
      <c r="R19" s="86"/>
      <c r="S19" s="75">
        <v>15</v>
      </c>
      <c r="T19" s="82">
        <v>20</v>
      </c>
      <c r="U19" s="67">
        <v>0.1767</v>
      </c>
      <c r="V19" s="87"/>
      <c r="W19" s="88"/>
      <c r="X19" s="89"/>
      <c r="Y19" s="106"/>
      <c r="Z19" s="106"/>
      <c r="AA19" s="106"/>
    </row>
    <row r="20" spans="1:27" s="112" customFormat="1" ht="15.75" x14ac:dyDescent="0.25">
      <c r="A20" s="108"/>
      <c r="B20" s="123" t="s">
        <v>93</v>
      </c>
      <c r="C20" s="68"/>
      <c r="D20" s="65" t="s">
        <v>83</v>
      </c>
      <c r="E20" s="65"/>
      <c r="F20" s="124"/>
      <c r="G20" s="125"/>
      <c r="H20" s="108"/>
      <c r="I20" s="126"/>
      <c r="J20" s="109"/>
      <c r="K20" s="109"/>
      <c r="L20" s="109"/>
      <c r="M20" s="109"/>
      <c r="N20" s="109"/>
      <c r="O20" s="109"/>
      <c r="P20" s="110"/>
      <c r="Q20" s="85"/>
      <c r="R20" s="90"/>
      <c r="S20" s="91">
        <v>20</v>
      </c>
      <c r="T20" s="92">
        <v>26</v>
      </c>
      <c r="U20" s="67">
        <v>0.31419999999999998</v>
      </c>
      <c r="V20" s="90"/>
      <c r="W20" s="90"/>
      <c r="X20" s="89"/>
      <c r="Y20" s="110"/>
      <c r="Z20" s="110"/>
      <c r="AA20" s="110"/>
    </row>
    <row r="21" spans="1:27" s="112" customFormat="1" ht="15.75" x14ac:dyDescent="0.25">
      <c r="A21" s="108"/>
      <c r="B21" s="123"/>
      <c r="C21" s="68"/>
      <c r="D21" s="65"/>
      <c r="E21" s="65"/>
      <c r="F21" s="124"/>
      <c r="G21" s="125"/>
      <c r="H21" s="108"/>
      <c r="I21" s="126"/>
      <c r="J21" s="109"/>
      <c r="K21" s="109"/>
      <c r="L21" s="109"/>
      <c r="M21" s="109"/>
      <c r="N21" s="109"/>
      <c r="O21" s="109"/>
      <c r="P21" s="110"/>
      <c r="Q21" s="85"/>
      <c r="R21" s="90"/>
      <c r="S21" s="91">
        <v>25</v>
      </c>
      <c r="T21" s="92">
        <v>32</v>
      </c>
      <c r="U21" s="67">
        <v>0.4909</v>
      </c>
      <c r="V21" s="90"/>
      <c r="W21" s="90"/>
      <c r="X21" s="89"/>
      <c r="Y21" s="110"/>
      <c r="Z21" s="110"/>
      <c r="AA21" s="110"/>
    </row>
    <row r="22" spans="1:27" s="112" customFormat="1" ht="15.75" x14ac:dyDescent="0.25">
      <c r="A22" s="108"/>
      <c r="B22" s="123" t="s">
        <v>94</v>
      </c>
      <c r="C22" s="127" t="s">
        <v>95</v>
      </c>
      <c r="D22" s="65"/>
      <c r="E22" s="65"/>
      <c r="F22" s="124"/>
      <c r="G22" s="125"/>
      <c r="H22" s="108"/>
      <c r="I22" s="126"/>
      <c r="J22" s="109"/>
      <c r="K22" s="109"/>
      <c r="L22" s="109"/>
      <c r="M22" s="109"/>
      <c r="N22" s="109"/>
      <c r="O22" s="109"/>
      <c r="P22" s="110"/>
      <c r="Q22" s="85"/>
      <c r="R22" s="90"/>
      <c r="S22" s="91">
        <v>32</v>
      </c>
      <c r="T22" s="92">
        <v>42</v>
      </c>
      <c r="U22" s="67">
        <v>0.80420000000000003</v>
      </c>
      <c r="V22" s="90"/>
      <c r="W22" s="90"/>
      <c r="X22" s="89"/>
      <c r="Y22" s="110"/>
      <c r="Z22" s="110"/>
      <c r="AA22" s="110"/>
    </row>
    <row r="23" spans="1:27" s="107" customFormat="1" ht="17.45" customHeight="1" x14ac:dyDescent="0.3">
      <c r="A23" s="113"/>
      <c r="B23" s="122"/>
      <c r="C23" s="119"/>
      <c r="D23" s="128"/>
      <c r="E23" s="88"/>
      <c r="F23" s="120"/>
      <c r="G23" s="121"/>
      <c r="H23" s="90"/>
      <c r="I23" s="122"/>
      <c r="J23" s="100"/>
      <c r="K23" s="100"/>
      <c r="L23" s="100"/>
      <c r="M23" s="100"/>
      <c r="N23" s="100"/>
      <c r="O23" s="100"/>
      <c r="P23" s="106"/>
      <c r="Q23" s="106"/>
      <c r="R23" s="106"/>
      <c r="S23" s="76">
        <v>41</v>
      </c>
      <c r="T23" s="76">
        <v>46</v>
      </c>
      <c r="U23" s="67">
        <v>1.32</v>
      </c>
      <c r="V23" s="106"/>
      <c r="W23" s="106"/>
      <c r="X23" s="106"/>
      <c r="Y23" s="106"/>
      <c r="Z23" s="106"/>
      <c r="AA23" s="106"/>
    </row>
    <row r="24" spans="1:27" s="107" customFormat="1" ht="16.5" customHeight="1" x14ac:dyDescent="0.3">
      <c r="A24" s="66" t="s">
        <v>96</v>
      </c>
      <c r="B24" s="122"/>
      <c r="C24" s="119"/>
      <c r="D24" s="128"/>
      <c r="E24" s="88"/>
      <c r="F24" s="120"/>
      <c r="G24" s="121"/>
      <c r="H24" s="90"/>
      <c r="I24" s="122"/>
      <c r="J24" s="122"/>
      <c r="K24" s="122"/>
      <c r="L24" s="100"/>
      <c r="M24" s="100"/>
      <c r="N24" s="100"/>
      <c r="O24" s="100"/>
      <c r="P24" s="100"/>
      <c r="Q24" s="100"/>
      <c r="R24" s="106"/>
      <c r="S24" s="76">
        <v>50</v>
      </c>
      <c r="T24" s="76">
        <v>57</v>
      </c>
      <c r="U24" s="67">
        <v>1.9630000000000001</v>
      </c>
      <c r="V24" s="106"/>
      <c r="W24" s="106"/>
      <c r="X24" s="106"/>
      <c r="Y24" s="106"/>
      <c r="Z24" s="106"/>
      <c r="AA24" s="106"/>
    </row>
    <row r="25" spans="1:27" s="107" customFormat="1" ht="17.45" customHeight="1" x14ac:dyDescent="0.3">
      <c r="A25" s="113"/>
      <c r="B25" s="122"/>
      <c r="C25" s="119"/>
      <c r="D25" s="128"/>
      <c r="E25" s="88"/>
      <c r="F25" s="120"/>
      <c r="G25" s="121"/>
      <c r="H25" s="90"/>
      <c r="I25" s="122"/>
      <c r="J25" s="122"/>
      <c r="K25" s="122"/>
      <c r="L25" s="100"/>
      <c r="M25" s="100"/>
      <c r="N25" s="100"/>
      <c r="O25" s="100"/>
      <c r="P25" s="100"/>
      <c r="Q25" s="100"/>
      <c r="R25" s="106"/>
      <c r="S25" s="76">
        <v>69</v>
      </c>
      <c r="T25" s="76">
        <v>76</v>
      </c>
      <c r="U25" s="67">
        <v>3.7389999999999999</v>
      </c>
      <c r="V25" s="106"/>
      <c r="W25" s="106"/>
      <c r="X25" s="106"/>
      <c r="Y25" s="106"/>
      <c r="Z25" s="106"/>
      <c r="AA25" s="106"/>
    </row>
    <row r="26" spans="1:27" s="118" customFormat="1" ht="15.75" x14ac:dyDescent="0.25">
      <c r="A26" s="113"/>
      <c r="B26" s="585" t="s">
        <v>97</v>
      </c>
      <c r="C26" s="586"/>
      <c r="D26" s="129" t="s">
        <v>98</v>
      </c>
      <c r="E26" s="116"/>
      <c r="F26" s="130"/>
      <c r="G26" s="587" t="s">
        <v>83</v>
      </c>
      <c r="H26" s="113"/>
      <c r="I26" s="123"/>
      <c r="J26" s="123"/>
      <c r="K26" s="123"/>
      <c r="L26" s="114"/>
      <c r="M26" s="114"/>
      <c r="N26" s="114"/>
      <c r="O26" s="114"/>
      <c r="P26" s="114"/>
      <c r="Q26" s="114"/>
      <c r="R26" s="115"/>
      <c r="S26" s="76">
        <v>81</v>
      </c>
      <c r="T26" s="76">
        <v>89</v>
      </c>
      <c r="U26" s="67">
        <v>5.1529999999999996</v>
      </c>
      <c r="V26" s="115"/>
      <c r="W26" s="115"/>
      <c r="X26" s="115"/>
      <c r="Y26" s="115"/>
      <c r="Z26" s="115"/>
      <c r="AA26" s="115"/>
    </row>
    <row r="27" spans="1:27" s="118" customFormat="1" ht="15.75" x14ac:dyDescent="0.25">
      <c r="A27" s="114"/>
      <c r="B27" s="586"/>
      <c r="C27" s="586"/>
      <c r="D27" s="115" t="s">
        <v>99</v>
      </c>
      <c r="E27" s="116"/>
      <c r="F27" s="130"/>
      <c r="G27" s="587"/>
      <c r="H27" s="113"/>
      <c r="I27" s="123"/>
      <c r="J27" s="123"/>
      <c r="K27" s="123"/>
      <c r="L27" s="114"/>
      <c r="M27" s="114"/>
      <c r="N27" s="114"/>
      <c r="O27" s="114"/>
      <c r="P27" s="114"/>
      <c r="Q27" s="114"/>
      <c r="R27" s="115"/>
      <c r="S27" s="76">
        <v>90</v>
      </c>
      <c r="T27" s="76">
        <v>102</v>
      </c>
      <c r="U27" s="67">
        <v>6.3616999999999999</v>
      </c>
      <c r="V27" s="115"/>
      <c r="W27" s="115"/>
      <c r="X27" s="115"/>
      <c r="Y27" s="115"/>
      <c r="Z27" s="115"/>
      <c r="AA27" s="115"/>
    </row>
    <row r="28" spans="1:27" s="107" customFormat="1" ht="17.45" customHeight="1" x14ac:dyDescent="0.3">
      <c r="A28" s="100"/>
      <c r="B28" s="119"/>
      <c r="C28" s="119"/>
      <c r="D28" s="64"/>
      <c r="E28" s="88"/>
      <c r="F28" s="120"/>
      <c r="G28" s="120"/>
      <c r="H28" s="90"/>
      <c r="I28" s="122"/>
      <c r="J28" s="122"/>
      <c r="K28" s="122"/>
      <c r="L28" s="100"/>
      <c r="M28" s="100"/>
      <c r="N28" s="100"/>
      <c r="O28" s="100"/>
      <c r="P28" s="100"/>
      <c r="Q28" s="100"/>
      <c r="R28" s="106"/>
      <c r="S28" s="76">
        <v>100</v>
      </c>
      <c r="T28" s="76">
        <v>108</v>
      </c>
      <c r="U28" s="67">
        <v>7.8540000000000001</v>
      </c>
      <c r="V28" s="106"/>
      <c r="W28" s="106"/>
      <c r="X28" s="106"/>
      <c r="Y28" s="106"/>
      <c r="Z28" s="106"/>
      <c r="AA28" s="106"/>
    </row>
    <row r="29" spans="1:27" s="107" customFormat="1" ht="16.5" customHeight="1" thickBot="1" x14ac:dyDescent="0.35">
      <c r="A29" s="100"/>
      <c r="B29" s="131" t="s">
        <v>100</v>
      </c>
      <c r="C29" s="119"/>
      <c r="D29" s="64"/>
      <c r="E29" s="88"/>
      <c r="F29" s="120"/>
      <c r="G29" s="120"/>
      <c r="H29" s="90"/>
      <c r="I29" s="122"/>
      <c r="J29" s="122"/>
      <c r="K29" s="122"/>
      <c r="L29" s="100"/>
      <c r="M29" s="100"/>
      <c r="N29" s="100"/>
      <c r="O29" s="100"/>
      <c r="P29" s="100"/>
      <c r="Q29" s="100"/>
      <c r="R29" s="106"/>
      <c r="S29" s="76">
        <v>125</v>
      </c>
      <c r="T29" s="76">
        <v>133</v>
      </c>
      <c r="U29" s="67">
        <v>12.21</v>
      </c>
      <c r="V29" s="106"/>
      <c r="W29" s="106"/>
      <c r="X29" s="106"/>
      <c r="Y29" s="106"/>
      <c r="Z29" s="106"/>
      <c r="AA29" s="106"/>
    </row>
    <row r="30" spans="1:27" s="112" customFormat="1" ht="15.75" thickTop="1" x14ac:dyDescent="0.25">
      <c r="A30" s="108" t="s">
        <v>101</v>
      </c>
      <c r="B30" s="109"/>
      <c r="C30" s="109"/>
      <c r="D30" s="110"/>
      <c r="E30" s="65"/>
      <c r="F30" s="111"/>
      <c r="G30" s="111"/>
      <c r="H30" s="111"/>
      <c r="I30" s="111"/>
      <c r="J30" s="109"/>
      <c r="K30" s="109"/>
      <c r="L30" s="109"/>
      <c r="M30" s="109"/>
      <c r="N30" s="109"/>
      <c r="O30" s="109"/>
      <c r="P30" s="110"/>
      <c r="Q30" s="110"/>
      <c r="R30" s="110"/>
      <c r="S30" s="76">
        <v>150</v>
      </c>
      <c r="T30" s="76">
        <v>159</v>
      </c>
      <c r="U30" s="67">
        <v>17.670000000000002</v>
      </c>
      <c r="V30" s="110"/>
      <c r="W30" s="110"/>
      <c r="X30" s="110"/>
      <c r="Y30" s="110"/>
      <c r="Z30" s="110"/>
      <c r="AA30" s="110"/>
    </row>
    <row r="31" spans="1:27" s="107" customFormat="1" ht="15.75" customHeight="1" x14ac:dyDescent="0.3">
      <c r="A31" s="113"/>
      <c r="B31" s="100"/>
      <c r="C31" s="100"/>
      <c r="D31" s="85"/>
      <c r="E31" s="88"/>
      <c r="F31" s="105"/>
      <c r="G31" s="105"/>
      <c r="H31" s="105"/>
      <c r="I31" s="105"/>
      <c r="J31" s="100"/>
      <c r="K31" s="100"/>
      <c r="L31" s="100"/>
      <c r="M31" s="100"/>
      <c r="N31" s="100"/>
      <c r="O31" s="100"/>
      <c r="P31" s="106"/>
      <c r="Q31" s="106"/>
      <c r="R31" s="106"/>
      <c r="S31" s="76">
        <v>203</v>
      </c>
      <c r="T31" s="76">
        <v>219</v>
      </c>
      <c r="U31" s="67">
        <v>32.36</v>
      </c>
      <c r="V31" s="106"/>
      <c r="W31" s="106"/>
      <c r="X31" s="106"/>
      <c r="Y31" s="106"/>
      <c r="Z31" s="106"/>
      <c r="AA31" s="106"/>
    </row>
    <row r="32" spans="1:27" s="118" customFormat="1" ht="15.75" x14ac:dyDescent="0.25">
      <c r="A32" s="114"/>
      <c r="B32" s="102" t="s">
        <v>102</v>
      </c>
      <c r="C32" s="114"/>
      <c r="D32" s="115"/>
      <c r="E32" s="116"/>
      <c r="F32" s="117"/>
      <c r="G32" s="117"/>
      <c r="H32" s="117"/>
      <c r="I32" s="117"/>
      <c r="J32" s="114"/>
      <c r="K32" s="114"/>
      <c r="L32" s="114"/>
      <c r="M32" s="114"/>
      <c r="N32" s="114"/>
      <c r="O32" s="114"/>
      <c r="P32" s="115"/>
      <c r="Q32" s="115"/>
      <c r="R32" s="115"/>
      <c r="S32" s="76">
        <v>255</v>
      </c>
      <c r="T32" s="76">
        <v>273</v>
      </c>
      <c r="U32" s="67">
        <v>51.07</v>
      </c>
      <c r="V32" s="115"/>
      <c r="W32" s="115"/>
      <c r="X32" s="115"/>
      <c r="Y32" s="115"/>
      <c r="Z32" s="115"/>
      <c r="AA32" s="115"/>
    </row>
    <row r="33" spans="1:27" s="118" customFormat="1" ht="15" customHeight="1" x14ac:dyDescent="0.25">
      <c r="A33" s="114"/>
      <c r="B33" s="102"/>
      <c r="C33" s="114"/>
      <c r="D33" s="115"/>
      <c r="E33" s="116"/>
      <c r="F33" s="117"/>
      <c r="G33" s="117"/>
      <c r="H33" s="117"/>
      <c r="I33" s="117"/>
      <c r="J33" s="114"/>
      <c r="K33" s="114"/>
      <c r="L33" s="114"/>
      <c r="M33" s="114"/>
      <c r="N33" s="114"/>
      <c r="O33" s="114"/>
      <c r="P33" s="115"/>
      <c r="Q33" s="115"/>
      <c r="R33" s="115"/>
      <c r="S33" s="76">
        <v>305</v>
      </c>
      <c r="T33" s="76">
        <v>325</v>
      </c>
      <c r="U33" s="67">
        <v>73.06</v>
      </c>
      <c r="V33" s="115"/>
      <c r="W33" s="115"/>
      <c r="X33" s="115"/>
      <c r="Y33" s="115"/>
      <c r="Z33" s="115"/>
      <c r="AA33" s="115"/>
    </row>
    <row r="34" spans="1:27" s="118" customFormat="1" ht="15.75" x14ac:dyDescent="0.25">
      <c r="A34" s="114"/>
      <c r="B34" s="114" t="s">
        <v>205</v>
      </c>
      <c r="C34" s="114"/>
      <c r="D34" s="115"/>
      <c r="E34" s="116"/>
      <c r="F34" s="117"/>
      <c r="G34" s="132" t="e">
        <f>(E11+F11)/2-G11</f>
        <v>#REF!</v>
      </c>
      <c r="H34" s="102" t="s">
        <v>103</v>
      </c>
      <c r="I34" s="117"/>
      <c r="J34" s="114"/>
      <c r="K34" s="114"/>
      <c r="L34" s="114"/>
      <c r="M34" s="114"/>
      <c r="N34" s="114"/>
      <c r="O34" s="114"/>
      <c r="P34" s="115"/>
      <c r="Q34" s="115"/>
      <c r="R34" s="115"/>
      <c r="S34" s="115"/>
      <c r="T34" s="115"/>
      <c r="U34" s="115"/>
      <c r="V34" s="115"/>
      <c r="W34" s="115"/>
      <c r="X34" s="115"/>
      <c r="Y34" s="115"/>
      <c r="Z34" s="115"/>
      <c r="AA34" s="115"/>
    </row>
    <row r="35" spans="1:27" s="107" customFormat="1" ht="9" customHeight="1" x14ac:dyDescent="0.3">
      <c r="A35" s="100"/>
      <c r="B35" s="96"/>
      <c r="C35" s="96"/>
      <c r="D35" s="85"/>
      <c r="E35" s="88"/>
      <c r="F35" s="105"/>
      <c r="G35" s="105"/>
      <c r="H35" s="105"/>
      <c r="I35" s="105"/>
      <c r="J35" s="100"/>
      <c r="K35" s="100"/>
      <c r="L35" s="100"/>
      <c r="M35" s="100"/>
      <c r="N35" s="100"/>
      <c r="O35" s="100"/>
      <c r="P35" s="106"/>
      <c r="Q35" s="106"/>
      <c r="R35" s="106"/>
      <c r="S35" s="106"/>
      <c r="T35" s="106"/>
      <c r="U35" s="106"/>
      <c r="V35" s="106"/>
      <c r="W35" s="106"/>
      <c r="X35" s="106"/>
      <c r="Y35" s="106"/>
      <c r="Z35" s="106"/>
      <c r="AA35" s="106"/>
    </row>
    <row r="36" spans="1:27" s="107" customFormat="1" ht="20.25" x14ac:dyDescent="0.3">
      <c r="A36" s="113" t="s">
        <v>33</v>
      </c>
      <c r="B36" s="100"/>
      <c r="C36" s="100"/>
      <c r="D36" s="85"/>
      <c r="E36" s="88"/>
      <c r="F36" s="88"/>
      <c r="G36" s="88"/>
      <c r="H36" s="88"/>
      <c r="I36" s="88"/>
      <c r="J36" s="88"/>
      <c r="K36" s="133"/>
      <c r="L36" s="100"/>
      <c r="M36" s="100"/>
      <c r="N36" s="100"/>
      <c r="O36" s="100"/>
      <c r="P36" s="100"/>
      <c r="Q36" s="100"/>
      <c r="R36" s="106"/>
      <c r="S36" s="106"/>
      <c r="T36" s="106"/>
      <c r="U36" s="106"/>
      <c r="V36" s="106"/>
      <c r="W36" s="106"/>
      <c r="X36" s="106"/>
      <c r="Y36" s="106"/>
      <c r="Z36" s="106"/>
      <c r="AA36" s="106"/>
    </row>
    <row r="37" spans="1:27" s="107" customFormat="1" ht="20.25" x14ac:dyDescent="0.3">
      <c r="A37" s="113" t="s">
        <v>104</v>
      </c>
      <c r="B37" s="100"/>
      <c r="C37" s="100"/>
      <c r="D37" s="85"/>
      <c r="E37" s="88"/>
      <c r="F37" s="88"/>
      <c r="G37" s="88"/>
      <c r="H37" s="88"/>
      <c r="I37" s="88"/>
      <c r="J37" s="88"/>
      <c r="K37" s="133"/>
      <c r="L37" s="100"/>
      <c r="M37" s="100"/>
      <c r="N37" s="100"/>
      <c r="O37" s="100"/>
      <c r="P37" s="100"/>
      <c r="Q37" s="100"/>
      <c r="R37" s="106"/>
      <c r="S37" s="106"/>
      <c r="T37" s="106"/>
      <c r="U37" s="106"/>
      <c r="V37" s="106"/>
      <c r="W37" s="106"/>
      <c r="X37" s="106"/>
      <c r="Y37" s="106"/>
      <c r="Z37" s="106"/>
      <c r="AA37" s="106"/>
    </row>
    <row r="38" spans="1:27" s="107" customFormat="1" ht="20.25" x14ac:dyDescent="0.3">
      <c r="A38" s="113" t="s">
        <v>105</v>
      </c>
      <c r="B38" s="100"/>
      <c r="C38" s="100"/>
      <c r="D38" s="85"/>
      <c r="E38" s="88"/>
      <c r="F38" s="88"/>
      <c r="G38" s="88"/>
      <c r="H38" s="134"/>
      <c r="I38" s="128"/>
      <c r="J38" s="128"/>
      <c r="K38" s="133"/>
      <c r="L38" s="100"/>
      <c r="M38" s="100"/>
      <c r="N38" s="100"/>
      <c r="O38" s="134" t="e">
        <f>G34</f>
        <v>#REF!</v>
      </c>
      <c r="P38" s="128" t="s">
        <v>103</v>
      </c>
      <c r="Q38" s="100"/>
      <c r="R38" s="106"/>
      <c r="S38" s="106"/>
      <c r="T38" s="106"/>
      <c r="U38" s="106"/>
      <c r="V38" s="106"/>
      <c r="W38" s="106"/>
      <c r="X38" s="106"/>
      <c r="Y38" s="106"/>
      <c r="Z38" s="106"/>
      <c r="AA38" s="106"/>
    </row>
    <row r="39" spans="1:27" s="107" customFormat="1" ht="14.25" customHeight="1" x14ac:dyDescent="0.3">
      <c r="A39" s="113"/>
      <c r="B39" s="100"/>
      <c r="C39" s="100"/>
      <c r="D39" s="85"/>
      <c r="E39" s="88"/>
      <c r="F39" s="88"/>
      <c r="G39" s="88"/>
      <c r="H39" s="134"/>
      <c r="I39" s="128"/>
      <c r="J39" s="133"/>
      <c r="K39" s="100"/>
      <c r="L39" s="100"/>
      <c r="M39" s="100"/>
      <c r="N39" s="134"/>
      <c r="O39" s="128"/>
      <c r="P39" s="100"/>
      <c r="Q39" s="106"/>
      <c r="R39" s="106"/>
      <c r="S39" s="85" t="s">
        <v>106</v>
      </c>
      <c r="T39" s="106"/>
      <c r="U39" s="106"/>
      <c r="V39" s="106"/>
      <c r="W39" s="106"/>
      <c r="X39" s="106"/>
      <c r="Y39" s="106"/>
      <c r="Z39" s="106"/>
      <c r="AA39" s="106"/>
    </row>
    <row r="40" spans="1:27" s="112" customFormat="1" ht="15" x14ac:dyDescent="0.25">
      <c r="A40" s="108"/>
      <c r="B40" s="580" t="s">
        <v>177</v>
      </c>
      <c r="C40" s="581"/>
      <c r="D40" s="135" t="s">
        <v>107</v>
      </c>
      <c r="E40" s="65"/>
      <c r="F40" s="582" t="s">
        <v>108</v>
      </c>
      <c r="G40" s="135" t="s">
        <v>109</v>
      </c>
      <c r="H40" s="109" t="s">
        <v>110</v>
      </c>
      <c r="I40" s="583" t="s">
        <v>111</v>
      </c>
      <c r="J40" s="584"/>
      <c r="K40" s="109"/>
      <c r="L40" s="108" t="s">
        <v>112</v>
      </c>
      <c r="M40" s="109"/>
      <c r="N40" s="109"/>
      <c r="O40" s="109"/>
      <c r="P40" s="109"/>
      <c r="Q40" s="110"/>
      <c r="R40" s="85"/>
      <c r="S40" s="86" t="s">
        <v>113</v>
      </c>
      <c r="T40" s="88"/>
      <c r="U40" s="86"/>
      <c r="V40" s="93"/>
      <c r="W40" s="82"/>
      <c r="X40" s="76">
        <v>52.5</v>
      </c>
      <c r="Y40" s="94">
        <v>65</v>
      </c>
      <c r="Z40" s="110"/>
      <c r="AA40" s="110"/>
    </row>
    <row r="41" spans="1:27" s="112" customFormat="1" ht="15" x14ac:dyDescent="0.25">
      <c r="A41" s="109"/>
      <c r="B41" s="581"/>
      <c r="C41" s="581"/>
      <c r="D41" s="110" t="s">
        <v>114</v>
      </c>
      <c r="E41" s="65"/>
      <c r="F41" s="582"/>
      <c r="G41" s="125">
        <v>2</v>
      </c>
      <c r="H41" s="108"/>
      <c r="I41" s="584"/>
      <c r="J41" s="584"/>
      <c r="K41" s="109"/>
      <c r="L41" s="109"/>
      <c r="M41" s="109"/>
      <c r="N41" s="109"/>
      <c r="O41" s="109"/>
      <c r="P41" s="109"/>
      <c r="Q41" s="110"/>
      <c r="R41" s="85"/>
      <c r="S41" s="86"/>
      <c r="T41" s="88"/>
      <c r="U41" s="86"/>
      <c r="V41" s="93"/>
      <c r="W41" s="83">
        <v>32</v>
      </c>
      <c r="X41" s="75">
        <v>45</v>
      </c>
      <c r="Y41" s="91">
        <v>52</v>
      </c>
      <c r="Z41" s="110"/>
      <c r="AA41" s="110"/>
    </row>
    <row r="42" spans="1:27" s="107" customFormat="1" ht="12.2" customHeight="1" x14ac:dyDescent="0.3">
      <c r="A42" s="100"/>
      <c r="B42" s="119"/>
      <c r="C42" s="119"/>
      <c r="D42" s="64"/>
      <c r="E42" s="88"/>
      <c r="F42" s="120"/>
      <c r="G42" s="121"/>
      <c r="H42" s="90"/>
      <c r="I42" s="122"/>
      <c r="J42" s="100"/>
      <c r="K42" s="100"/>
      <c r="L42" s="100"/>
      <c r="M42" s="100"/>
      <c r="N42" s="100"/>
      <c r="O42" s="100"/>
      <c r="P42" s="106"/>
      <c r="Q42" s="85"/>
      <c r="R42" s="86"/>
      <c r="S42" s="88"/>
      <c r="T42" s="86"/>
      <c r="U42" s="93"/>
      <c r="V42" s="87"/>
      <c r="W42" s="76">
        <v>57</v>
      </c>
      <c r="X42" s="91">
        <v>56</v>
      </c>
      <c r="Y42" s="75">
        <v>65</v>
      </c>
      <c r="Z42" s="106"/>
      <c r="AA42" s="106"/>
    </row>
    <row r="43" spans="1:27" s="107" customFormat="1" ht="20.25" x14ac:dyDescent="0.3">
      <c r="A43" s="113" t="s">
        <v>92</v>
      </c>
      <c r="B43" s="119"/>
      <c r="C43" s="119"/>
      <c r="D43" s="64"/>
      <c r="E43" s="88"/>
      <c r="F43" s="120"/>
      <c r="G43" s="121"/>
      <c r="H43" s="90"/>
      <c r="I43" s="122"/>
      <c r="J43" s="100"/>
      <c r="K43" s="100"/>
      <c r="L43" s="100"/>
      <c r="M43" s="100"/>
      <c r="N43" s="100"/>
      <c r="O43" s="100"/>
      <c r="P43" s="106"/>
      <c r="Q43" s="85"/>
      <c r="R43" s="86"/>
      <c r="S43" s="88" t="s">
        <v>115</v>
      </c>
      <c r="T43" s="86">
        <f>(X42-X41)/(W42-W41)*(46-32)+X41</f>
        <v>51.16</v>
      </c>
      <c r="U43" s="86">
        <f>(Y42-Y41)/(W42-W41)*(46-32)+Y41</f>
        <v>59.28</v>
      </c>
      <c r="V43" s="87"/>
      <c r="W43" s="88"/>
      <c r="X43" s="89"/>
      <c r="Y43" s="106"/>
      <c r="Z43" s="106"/>
      <c r="AA43" s="106"/>
    </row>
    <row r="44" spans="1:27" s="107" customFormat="1" ht="12.2" customHeight="1" x14ac:dyDescent="0.3">
      <c r="A44" s="113"/>
      <c r="B44" s="119"/>
      <c r="C44" s="119"/>
      <c r="D44" s="64"/>
      <c r="E44" s="88"/>
      <c r="F44" s="120"/>
      <c r="G44" s="121"/>
      <c r="H44" s="90"/>
      <c r="I44" s="122"/>
      <c r="J44" s="100"/>
      <c r="K44" s="100"/>
      <c r="L44" s="100"/>
      <c r="M44" s="100"/>
      <c r="N44" s="100"/>
      <c r="O44" s="100"/>
      <c r="P44" s="106"/>
      <c r="Q44" s="85"/>
      <c r="R44" s="86"/>
      <c r="S44" s="88"/>
      <c r="T44" s="86"/>
      <c r="U44" s="93"/>
      <c r="V44" s="87"/>
      <c r="W44" s="75">
        <v>25</v>
      </c>
      <c r="X44" s="91">
        <v>42</v>
      </c>
      <c r="Y44" s="75">
        <v>48</v>
      </c>
      <c r="Z44" s="106"/>
      <c r="AA44" s="106"/>
    </row>
    <row r="45" spans="1:27" s="112" customFormat="1" ht="15.75" x14ac:dyDescent="0.25">
      <c r="A45" s="108"/>
      <c r="B45" s="123" t="s">
        <v>116</v>
      </c>
      <c r="C45" s="68"/>
      <c r="D45" s="65" t="s">
        <v>83</v>
      </c>
      <c r="E45" s="65"/>
      <c r="F45" s="124"/>
      <c r="G45" s="125"/>
      <c r="H45" s="108"/>
      <c r="I45" s="126"/>
      <c r="J45" s="109"/>
      <c r="K45" s="109"/>
      <c r="L45" s="109"/>
      <c r="M45" s="109"/>
      <c r="N45" s="109"/>
      <c r="O45" s="109"/>
      <c r="P45" s="110"/>
      <c r="Q45" s="85"/>
      <c r="R45" s="90"/>
      <c r="S45" s="90" t="s">
        <v>117</v>
      </c>
      <c r="T45" s="86">
        <f>X41-(X42-X41)/(W42-W41)*(32-25)</f>
        <v>41.92</v>
      </c>
      <c r="U45" s="86">
        <f>Y41-(Y42-Y41)/(W42-W41)*(32-25)</f>
        <v>48.36</v>
      </c>
      <c r="V45" s="90"/>
      <c r="W45" s="91">
        <v>46</v>
      </c>
      <c r="X45" s="91">
        <v>51</v>
      </c>
      <c r="Y45" s="75">
        <v>59</v>
      </c>
      <c r="Z45" s="110"/>
      <c r="AA45" s="110"/>
    </row>
    <row r="46" spans="1:27" s="107" customFormat="1" ht="20.25" x14ac:dyDescent="0.3">
      <c r="A46" s="113"/>
      <c r="B46" s="122"/>
      <c r="C46" s="119"/>
      <c r="D46" s="128"/>
      <c r="E46" s="88"/>
      <c r="F46" s="120"/>
      <c r="G46" s="121"/>
      <c r="H46" s="90"/>
      <c r="I46" s="122"/>
      <c r="J46" s="100"/>
      <c r="K46" s="100"/>
      <c r="L46" s="100"/>
      <c r="M46" s="100"/>
      <c r="N46" s="100"/>
      <c r="O46" s="100"/>
      <c r="P46" s="106"/>
      <c r="Q46" s="106"/>
      <c r="R46" s="106"/>
      <c r="S46" s="106"/>
      <c r="T46" s="106"/>
      <c r="U46" s="106"/>
      <c r="V46" s="106"/>
      <c r="W46" s="106"/>
      <c r="X46" s="106"/>
      <c r="Y46" s="106"/>
      <c r="Z46" s="106"/>
      <c r="AA46" s="106"/>
    </row>
    <row r="47" spans="1:27" s="107" customFormat="1" ht="20.25" x14ac:dyDescent="0.3">
      <c r="A47" s="66" t="s">
        <v>96</v>
      </c>
      <c r="B47" s="122"/>
      <c r="C47" s="119"/>
      <c r="D47" s="128"/>
      <c r="E47" s="88"/>
      <c r="F47" s="120"/>
      <c r="G47" s="121"/>
      <c r="H47" s="90"/>
      <c r="I47" s="122"/>
      <c r="J47" s="122"/>
      <c r="K47" s="122"/>
      <c r="L47" s="100"/>
      <c r="M47" s="100"/>
      <c r="N47" s="100"/>
      <c r="O47" s="100"/>
      <c r="P47" s="100"/>
      <c r="Q47" s="100"/>
      <c r="R47" s="106"/>
      <c r="S47" s="106"/>
      <c r="T47" s="106"/>
      <c r="U47" s="106"/>
      <c r="V47" s="106"/>
      <c r="W47" s="106"/>
      <c r="X47" s="106"/>
      <c r="Y47" s="106"/>
      <c r="Z47" s="106"/>
      <c r="AA47" s="106"/>
    </row>
    <row r="48" spans="1:27" s="107" customFormat="1" ht="10.5" customHeight="1" x14ac:dyDescent="0.3">
      <c r="A48" s="113"/>
      <c r="B48" s="122"/>
      <c r="C48" s="119"/>
      <c r="D48" s="128"/>
      <c r="E48" s="88"/>
      <c r="F48" s="120"/>
      <c r="G48" s="121"/>
      <c r="H48" s="90"/>
      <c r="I48" s="122"/>
      <c r="J48" s="122"/>
      <c r="K48" s="122"/>
      <c r="L48" s="100"/>
      <c r="M48" s="100"/>
      <c r="N48" s="100"/>
      <c r="O48" s="100"/>
      <c r="P48" s="100"/>
      <c r="Q48" s="100"/>
      <c r="R48" s="106"/>
      <c r="S48" s="106"/>
      <c r="T48" s="106"/>
      <c r="U48" s="106"/>
      <c r="V48" s="106"/>
      <c r="W48" s="106"/>
      <c r="X48" s="106"/>
      <c r="Y48" s="106"/>
      <c r="Z48" s="106"/>
      <c r="AA48" s="106"/>
    </row>
    <row r="49" spans="1:28" s="118" customFormat="1" ht="15.75" x14ac:dyDescent="0.25">
      <c r="A49" s="113"/>
      <c r="B49" s="585" t="s">
        <v>97</v>
      </c>
      <c r="C49" s="586"/>
      <c r="D49" s="129" t="s">
        <v>98</v>
      </c>
      <c r="E49" s="116"/>
      <c r="F49" s="130"/>
      <c r="G49" s="587" t="s">
        <v>83</v>
      </c>
      <c r="H49" s="113"/>
      <c r="I49" s="123"/>
      <c r="J49" s="123"/>
      <c r="K49" s="123"/>
      <c r="L49" s="114"/>
      <c r="M49" s="114"/>
      <c r="N49" s="114"/>
      <c r="O49" s="114"/>
      <c r="P49" s="114"/>
      <c r="Q49" s="114"/>
      <c r="R49" s="115"/>
      <c r="S49" s="115"/>
      <c r="T49" s="115"/>
      <c r="U49" s="115"/>
      <c r="V49" s="115"/>
      <c r="W49" s="115"/>
      <c r="X49" s="115"/>
      <c r="Y49" s="115"/>
      <c r="Z49" s="115"/>
      <c r="AA49" s="115"/>
    </row>
    <row r="50" spans="1:28" s="118" customFormat="1" ht="15.75" x14ac:dyDescent="0.25">
      <c r="A50" s="114"/>
      <c r="B50" s="586"/>
      <c r="C50" s="586"/>
      <c r="D50" s="115" t="s">
        <v>99</v>
      </c>
      <c r="E50" s="116"/>
      <c r="F50" s="130"/>
      <c r="G50" s="587"/>
      <c r="H50" s="113"/>
      <c r="I50" s="123"/>
      <c r="J50" s="123"/>
      <c r="K50" s="123"/>
      <c r="L50" s="114"/>
      <c r="M50" s="114"/>
      <c r="N50" s="114"/>
      <c r="O50" s="114"/>
      <c r="P50" s="114"/>
      <c r="Q50" s="114"/>
      <c r="R50" s="115"/>
      <c r="S50" s="115"/>
      <c r="T50" s="115"/>
      <c r="U50" s="115"/>
      <c r="V50" s="115"/>
      <c r="W50" s="115"/>
      <c r="X50" s="115"/>
      <c r="Y50" s="115"/>
      <c r="Z50" s="115"/>
      <c r="AA50" s="115"/>
    </row>
    <row r="51" spans="1:28" s="107" customFormat="1" ht="15.75" customHeight="1" x14ac:dyDescent="0.3">
      <c r="A51" s="100"/>
      <c r="B51" s="119"/>
      <c r="C51" s="119"/>
      <c r="D51" s="64"/>
      <c r="E51" s="88"/>
      <c r="F51" s="120"/>
      <c r="G51" s="120"/>
      <c r="H51" s="90"/>
      <c r="I51" s="122"/>
      <c r="J51" s="122"/>
      <c r="K51" s="122"/>
      <c r="L51" s="100"/>
      <c r="M51" s="100"/>
      <c r="N51" s="100"/>
      <c r="O51" s="100"/>
      <c r="P51" s="100"/>
      <c r="Q51" s="100"/>
      <c r="R51" s="106"/>
      <c r="S51" s="85"/>
      <c r="T51" s="85"/>
      <c r="U51" s="136"/>
      <c r="V51" s="106"/>
      <c r="W51" s="106"/>
      <c r="X51" s="106"/>
      <c r="Y51" s="106"/>
      <c r="Z51" s="106"/>
      <c r="AA51" s="106"/>
    </row>
    <row r="52" spans="1:28" s="107" customFormat="1" ht="15.75" customHeight="1" x14ac:dyDescent="0.3">
      <c r="A52" s="100"/>
      <c r="B52" s="168"/>
      <c r="C52" s="119" t="s">
        <v>40</v>
      </c>
      <c r="D52" s="128" t="s">
        <v>118</v>
      </c>
      <c r="E52" s="88"/>
      <c r="F52" s="120"/>
      <c r="G52" s="120"/>
      <c r="H52" s="90"/>
      <c r="I52" s="122"/>
      <c r="J52" s="122"/>
      <c r="K52" s="122"/>
      <c r="L52" s="100"/>
      <c r="M52" s="100"/>
      <c r="N52" s="100"/>
      <c r="O52" s="100"/>
      <c r="P52" s="100"/>
      <c r="Q52" s="100"/>
      <c r="R52" s="106"/>
      <c r="S52" s="85"/>
      <c r="T52" s="85"/>
      <c r="U52" s="136"/>
      <c r="V52" s="106"/>
      <c r="W52" s="106"/>
      <c r="X52" s="106"/>
      <c r="Y52" s="106"/>
      <c r="Z52" s="106"/>
      <c r="AA52" s="106"/>
    </row>
    <row r="53" spans="1:28" s="107" customFormat="1" ht="17.45" customHeight="1" x14ac:dyDescent="0.3">
      <c r="A53" s="100"/>
      <c r="B53" s="119"/>
      <c r="C53" s="119"/>
      <c r="D53" s="64"/>
      <c r="E53" s="88"/>
      <c r="F53" s="120"/>
      <c r="G53" s="120"/>
      <c r="H53" s="90"/>
      <c r="I53" s="122"/>
      <c r="J53" s="122"/>
      <c r="K53" s="122"/>
      <c r="L53" s="100"/>
      <c r="M53" s="100"/>
      <c r="N53" s="100"/>
      <c r="O53" s="100"/>
      <c r="P53" s="100"/>
      <c r="Q53" s="100"/>
      <c r="R53" s="106"/>
      <c r="S53" s="85"/>
      <c r="T53" s="85"/>
      <c r="U53" s="136"/>
      <c r="V53" s="106"/>
      <c r="W53" s="106"/>
      <c r="X53" s="106"/>
      <c r="Y53" s="106"/>
      <c r="Z53" s="106"/>
      <c r="AA53" s="106"/>
    </row>
    <row r="54" spans="1:28" ht="14.25" customHeight="1" thickBot="1" x14ac:dyDescent="0.25">
      <c r="A54" s="85"/>
      <c r="B54" s="88"/>
      <c r="C54" s="88"/>
      <c r="D54" s="88"/>
      <c r="E54" s="88"/>
      <c r="F54" s="88"/>
      <c r="G54" s="88"/>
      <c r="H54" s="88"/>
      <c r="I54" s="88"/>
      <c r="J54" s="88"/>
      <c r="K54" s="88"/>
      <c r="L54" s="88"/>
      <c r="M54" s="60"/>
      <c r="N54" s="60"/>
      <c r="O54" s="60"/>
      <c r="P54" s="60"/>
      <c r="Q54" s="60"/>
      <c r="R54" s="60"/>
      <c r="S54" s="60"/>
      <c r="T54" s="60"/>
      <c r="U54" s="60"/>
      <c r="V54" s="60"/>
      <c r="W54" s="60"/>
      <c r="X54" s="60"/>
      <c r="Y54" s="60"/>
      <c r="Z54" s="60"/>
      <c r="AA54" s="60"/>
    </row>
    <row r="55" spans="1:28" s="140" customFormat="1" ht="38.25" customHeight="1" x14ac:dyDescent="0.2">
      <c r="A55" s="574" t="s">
        <v>119</v>
      </c>
      <c r="B55" s="574"/>
      <c r="C55" s="588" t="s">
        <v>120</v>
      </c>
      <c r="D55" s="588"/>
      <c r="E55" s="574" t="s">
        <v>121</v>
      </c>
      <c r="F55" s="574"/>
      <c r="G55" s="137" t="s">
        <v>34</v>
      </c>
      <c r="H55" s="575" t="s">
        <v>122</v>
      </c>
      <c r="I55" s="575" t="s">
        <v>123</v>
      </c>
      <c r="J55" s="567" t="s">
        <v>124</v>
      </c>
      <c r="K55" s="567" t="s">
        <v>35</v>
      </c>
      <c r="L55" s="567" t="s">
        <v>125</v>
      </c>
      <c r="M55" s="571" t="s">
        <v>41</v>
      </c>
      <c r="N55" s="572"/>
      <c r="O55" s="571" t="s">
        <v>42</v>
      </c>
      <c r="P55" s="572"/>
      <c r="Q55" s="571" t="s">
        <v>43</v>
      </c>
      <c r="R55" s="572"/>
      <c r="S55" s="571" t="s">
        <v>44</v>
      </c>
      <c r="T55" s="572"/>
      <c r="U55" s="571" t="s">
        <v>45</v>
      </c>
      <c r="V55" s="572"/>
      <c r="W55" s="571" t="s">
        <v>46</v>
      </c>
      <c r="X55" s="572"/>
      <c r="Y55" s="571" t="s">
        <v>49</v>
      </c>
      <c r="Z55" s="573"/>
      <c r="AA55" s="138" t="s">
        <v>28</v>
      </c>
      <c r="AB55" s="139"/>
    </row>
    <row r="56" spans="1:28" s="140" customFormat="1" ht="29.25" customHeight="1" x14ac:dyDescent="0.2">
      <c r="A56" s="574"/>
      <c r="B56" s="574"/>
      <c r="C56" s="574" t="s">
        <v>126</v>
      </c>
      <c r="D56" s="574" t="s">
        <v>127</v>
      </c>
      <c r="E56" s="172" t="s">
        <v>128</v>
      </c>
      <c r="F56" s="172" t="s">
        <v>129</v>
      </c>
      <c r="G56" s="141" t="s">
        <v>83</v>
      </c>
      <c r="H56" s="576"/>
      <c r="I56" s="576"/>
      <c r="J56" s="578"/>
      <c r="K56" s="578"/>
      <c r="L56" s="578"/>
      <c r="M56" s="567" t="s">
        <v>130</v>
      </c>
      <c r="N56" s="567" t="s">
        <v>131</v>
      </c>
      <c r="O56" s="567" t="s">
        <v>130</v>
      </c>
      <c r="P56" s="567" t="s">
        <v>131</v>
      </c>
      <c r="Q56" s="567" t="s">
        <v>130</v>
      </c>
      <c r="R56" s="567" t="s">
        <v>131</v>
      </c>
      <c r="S56" s="567" t="s">
        <v>130</v>
      </c>
      <c r="T56" s="567" t="s">
        <v>131</v>
      </c>
      <c r="U56" s="567" t="s">
        <v>130</v>
      </c>
      <c r="V56" s="567" t="s">
        <v>131</v>
      </c>
      <c r="W56" s="567" t="s">
        <v>130</v>
      </c>
      <c r="X56" s="567" t="s">
        <v>131</v>
      </c>
      <c r="Y56" s="567" t="s">
        <v>130</v>
      </c>
      <c r="Z56" s="569" t="s">
        <v>131</v>
      </c>
      <c r="AA56" s="142" t="s">
        <v>29</v>
      </c>
    </row>
    <row r="57" spans="1:28" s="140" customFormat="1" ht="25.5" customHeight="1" thickBot="1" x14ac:dyDescent="0.25">
      <c r="A57" s="574"/>
      <c r="B57" s="574"/>
      <c r="C57" s="574"/>
      <c r="D57" s="574"/>
      <c r="E57" s="172" t="s">
        <v>132</v>
      </c>
      <c r="F57" s="172" t="s">
        <v>133</v>
      </c>
      <c r="G57" s="143"/>
      <c r="H57" s="577"/>
      <c r="I57" s="577"/>
      <c r="J57" s="568"/>
      <c r="K57" s="568"/>
      <c r="L57" s="568"/>
      <c r="M57" s="568"/>
      <c r="N57" s="568"/>
      <c r="O57" s="568"/>
      <c r="P57" s="568"/>
      <c r="Q57" s="568"/>
      <c r="R57" s="568"/>
      <c r="S57" s="568"/>
      <c r="T57" s="568"/>
      <c r="U57" s="568"/>
      <c r="V57" s="568"/>
      <c r="W57" s="568"/>
      <c r="X57" s="568"/>
      <c r="Y57" s="568"/>
      <c r="Z57" s="570"/>
      <c r="AA57" s="144"/>
    </row>
    <row r="58" spans="1:28" ht="15.75" x14ac:dyDescent="0.2">
      <c r="A58" s="564" t="s">
        <v>208</v>
      </c>
      <c r="B58" s="565"/>
      <c r="C58" s="565"/>
      <c r="D58" s="565"/>
      <c r="E58" s="565"/>
      <c r="F58" s="566"/>
      <c r="G58" s="151"/>
      <c r="H58" s="158"/>
      <c r="I58" s="158"/>
      <c r="J58" s="151"/>
      <c r="K58" s="158"/>
      <c r="L58" s="151"/>
      <c r="M58" s="151"/>
      <c r="N58" s="152"/>
      <c r="O58" s="153"/>
      <c r="P58" s="153"/>
      <c r="Q58" s="153"/>
      <c r="R58" s="153"/>
      <c r="S58" s="153"/>
      <c r="T58" s="153"/>
      <c r="U58" s="153"/>
      <c r="V58" s="153"/>
      <c r="W58" s="153"/>
      <c r="X58" s="153"/>
      <c r="Y58" s="153"/>
      <c r="Z58" s="154"/>
      <c r="AA58" s="155"/>
    </row>
    <row r="59" spans="1:28" ht="15.75" x14ac:dyDescent="0.2">
      <c r="A59" s="169">
        <v>57</v>
      </c>
      <c r="B59" s="6" t="s">
        <v>137</v>
      </c>
      <c r="C59" s="169">
        <v>56</v>
      </c>
      <c r="D59" s="169">
        <v>56</v>
      </c>
      <c r="E59" s="169">
        <v>38</v>
      </c>
      <c r="F59" s="169">
        <v>29</v>
      </c>
      <c r="G59" s="6">
        <f>SUM(E59:F59)</f>
        <v>67</v>
      </c>
      <c r="H59" s="169">
        <v>1.1499999999999999</v>
      </c>
      <c r="I59" s="169">
        <v>0.6</v>
      </c>
      <c r="J59" s="55">
        <f>H59*C59*G59*I59</f>
        <v>2588.8799999999997</v>
      </c>
      <c r="K59" s="6">
        <v>1.9630000000000001</v>
      </c>
      <c r="L59" s="81">
        <f>(C59+D59)*K59*0.001</f>
        <v>0.219856</v>
      </c>
      <c r="M59" s="81" t="e">
        <f>J59*(($E$4+$F$4-2*$G$4)/($E$11+$F$11-2*$G$11))</f>
        <v>#REF!</v>
      </c>
      <c r="N59" s="145">
        <f>0.00125*1*L59*($E$4+$F$4-2*5)*1000</f>
        <v>27.756820000000001</v>
      </c>
      <c r="O59" s="75" t="e">
        <f>J59*(($E$5+$F$5-2*$G$5)/($E$11+$F$11-2*$G$11))</f>
        <v>#REF!</v>
      </c>
      <c r="P59" s="75">
        <f>0.00125*1*L59*($E$5+$F$5-2*5)*1000</f>
        <v>25.558260000000001</v>
      </c>
      <c r="Q59" s="75" t="e">
        <f>J59*(($E$6+$F$6-2*$G$6)/($E$11+$F$11-2*$G$11))</f>
        <v>#REF!</v>
      </c>
      <c r="R59" s="75">
        <f>0.00125*1*L59*($E$6+$F$6-2*5)*1000</f>
        <v>21.985600000000002</v>
      </c>
      <c r="S59" s="75" t="e">
        <f>J59*(($E$7+$F$7-2*$G$7)/($E$11+$F$11-2*$G$11))</f>
        <v>#REF!</v>
      </c>
      <c r="T59" s="75">
        <f>0.00125*1*L59*($E$7+$F$7-2*5)*1000</f>
        <v>18.687760000000001</v>
      </c>
      <c r="U59" s="75" t="e">
        <f>J59*(($E$8+$F$8-2*$G$8)/($E$11+$F$11-2*$G$11))</f>
        <v>#REF!</v>
      </c>
      <c r="V59" s="75">
        <f>0.00125*1*L59*($E$8+$F$8-2*5)*1000</f>
        <v>21.16114</v>
      </c>
      <c r="W59" s="75" t="e">
        <f>J59*(($E$9+$F$9-2*$G$9)/($E$11+$F$11-2*$G$11))</f>
        <v>#REF!</v>
      </c>
      <c r="X59" s="75">
        <f>0.00125*1*L59*($E$9+$F$9-2*5)*1000</f>
        <v>22.26042</v>
      </c>
      <c r="Y59" s="75" t="e">
        <f>J59*(($E$10+$F$10-2*$G$10)/($E$11+$F$11-2*$G$11))</f>
        <v>#REF!</v>
      </c>
      <c r="Z59" s="146">
        <f>0.00125*1*L59*($E$10+$F$10-2*5)*1000</f>
        <v>25.283440000000002</v>
      </c>
      <c r="AA59" s="147"/>
    </row>
    <row r="60" spans="1:28" ht="16.5" thickBot="1" x14ac:dyDescent="0.3">
      <c r="A60" s="561"/>
      <c r="B60" s="562"/>
      <c r="C60" s="562"/>
      <c r="D60" s="562"/>
      <c r="E60" s="562"/>
      <c r="F60" s="563"/>
      <c r="G60" s="81"/>
      <c r="H60" s="81"/>
      <c r="I60" s="81"/>
      <c r="J60" s="81"/>
      <c r="K60" s="81"/>
      <c r="L60" s="81"/>
      <c r="M60" s="81"/>
      <c r="N60" s="149" t="e">
        <f>ROUND(((M59+N59)*31*24*0.000001),2)</f>
        <v>#REF!</v>
      </c>
      <c r="O60" s="156"/>
      <c r="P60" s="156" t="e">
        <f>ROUND(((O59+P59)*28*24*0.000001),2)</f>
        <v>#REF!</v>
      </c>
      <c r="Q60" s="156"/>
      <c r="R60" s="156" t="e">
        <f>ROUND(((Q59+R59)*31*24*0.000001),2)</f>
        <v>#REF!</v>
      </c>
      <c r="S60" s="156"/>
      <c r="T60" s="156" t="e">
        <f>ROUND(((S59+T59)*14*24*0.000001),2)</f>
        <v>#REF!</v>
      </c>
      <c r="U60" s="156"/>
      <c r="V60" s="156" t="e">
        <f>ROUND(((U59+V59)*21*24*0.000001),2)</f>
        <v>#REF!</v>
      </c>
      <c r="W60" s="156"/>
      <c r="X60" s="156" t="e">
        <f>ROUND(((W59+X59)*30*24*0.000001),2)</f>
        <v>#REF!</v>
      </c>
      <c r="Y60" s="156"/>
      <c r="Z60" s="157" t="e">
        <f>ROUND(((Y59+Z59)*31*24*0.000001),2)</f>
        <v>#REF!</v>
      </c>
      <c r="AA60" s="150" t="e">
        <f>N60+P60+R60+T60+V60+X60+Z60</f>
        <v>#REF!</v>
      </c>
    </row>
    <row r="61" spans="1:28" ht="15.75" x14ac:dyDescent="0.25">
      <c r="A61" s="559" t="s">
        <v>209</v>
      </c>
      <c r="B61" s="560"/>
      <c r="C61" s="560"/>
      <c r="D61" s="560"/>
      <c r="E61" s="560"/>
      <c r="F61" s="560"/>
      <c r="G61" s="81"/>
      <c r="H61" s="81"/>
      <c r="I61" s="81"/>
      <c r="J61" s="81"/>
      <c r="K61" s="81"/>
      <c r="L61" s="81"/>
      <c r="M61" s="81"/>
      <c r="N61" s="170"/>
      <c r="O61" s="171"/>
      <c r="P61" s="171"/>
      <c r="Q61" s="171"/>
      <c r="R61" s="171"/>
      <c r="S61" s="171"/>
      <c r="T61" s="171"/>
      <c r="U61" s="171"/>
      <c r="V61" s="171"/>
      <c r="W61" s="171"/>
      <c r="X61" s="171"/>
      <c r="Y61" s="171"/>
      <c r="Z61" s="159"/>
      <c r="AA61" s="148"/>
    </row>
    <row r="62" spans="1:28" ht="15.75" x14ac:dyDescent="0.2">
      <c r="A62" s="169">
        <v>57</v>
      </c>
      <c r="B62" s="6" t="s">
        <v>137</v>
      </c>
      <c r="C62" s="169">
        <v>70</v>
      </c>
      <c r="D62" s="169">
        <v>70</v>
      </c>
      <c r="E62" s="169">
        <v>38</v>
      </c>
      <c r="F62" s="169">
        <v>29</v>
      </c>
      <c r="G62" s="6">
        <f>SUM(E62:F62)</f>
        <v>67</v>
      </c>
      <c r="H62" s="169">
        <v>1.1499999999999999</v>
      </c>
      <c r="I62" s="169">
        <v>0.6</v>
      </c>
      <c r="J62" s="55">
        <f>H62*C62*G62*I62</f>
        <v>3236.1</v>
      </c>
      <c r="K62" s="6">
        <v>1.9630000000000001</v>
      </c>
      <c r="L62" s="81">
        <f>(C62+D62)*K62*0.001</f>
        <v>0.27482000000000001</v>
      </c>
      <c r="M62" s="81" t="e">
        <f>J62*(($E$4+$F$4-2*$G$4)/($E$11+$F$11-2*$G$11))</f>
        <v>#REF!</v>
      </c>
      <c r="N62" s="145">
        <f>0.00125*1*L62*($E$4+$F$4-2*5)*1000</f>
        <v>34.696024999999999</v>
      </c>
      <c r="O62" s="75" t="e">
        <f>J62*(($E$5+$F$5-2*$G$5)/($E$11+$F$11-2*$G$11))</f>
        <v>#REF!</v>
      </c>
      <c r="P62" s="75">
        <f>0.00125*1*L62*($E$5+$F$5-2*5)*1000</f>
        <v>31.947824999999998</v>
      </c>
      <c r="Q62" s="75" t="e">
        <f>J62*(($E$6+$F$6-2*$G$6)/($E$11+$F$11-2*$G$11))</f>
        <v>#REF!</v>
      </c>
      <c r="R62" s="75">
        <f>0.00125*1*L62*($E$6+$F$6-2*5)*1000</f>
        <v>27.481999999999999</v>
      </c>
      <c r="S62" s="75" t="e">
        <f>J62*(($E$7+$F$7-2*$G$7)/($E$11+$F$11-2*$G$11))</f>
        <v>#REF!</v>
      </c>
      <c r="T62" s="75">
        <f>0.00125*1*L62*($E$7+$F$7-2*5)*1000</f>
        <v>23.3597</v>
      </c>
      <c r="U62" s="75" t="e">
        <f>J62*(($E$8+$F$8-2*$G$8)/($E$11+$F$11-2*$G$11))</f>
        <v>#REF!</v>
      </c>
      <c r="V62" s="75">
        <f>0.00125*1*L62*($E$8+$F$8-2*5)*1000</f>
        <v>26.451425</v>
      </c>
      <c r="W62" s="75" t="e">
        <f>J62*(($E$9+$F$9-2*$G$9)/($E$11+$F$11-2*$G$11))</f>
        <v>#REF!</v>
      </c>
      <c r="X62" s="75">
        <f>0.00125*1*L62*($E$9+$F$9-2*5)*1000</f>
        <v>27.825524999999999</v>
      </c>
      <c r="Y62" s="75" t="e">
        <f>J62*(($E$10+$F$10-2*$G$10)/($E$11+$F$11-2*$G$11))</f>
        <v>#REF!</v>
      </c>
      <c r="Z62" s="146">
        <f>0.00125*1*L62*($E$10+$F$10-2*5)*1000</f>
        <v>31.604300000000002</v>
      </c>
      <c r="AA62" s="147"/>
    </row>
    <row r="63" spans="1:28" ht="16.5" thickBot="1" x14ac:dyDescent="0.3">
      <c r="A63" s="561"/>
      <c r="B63" s="562"/>
      <c r="C63" s="562"/>
      <c r="D63" s="562"/>
      <c r="E63" s="562"/>
      <c r="F63" s="563"/>
      <c r="G63" s="81"/>
      <c r="H63" s="81"/>
      <c r="I63" s="81"/>
      <c r="J63" s="81"/>
      <c r="K63" s="81"/>
      <c r="L63" s="81"/>
      <c r="M63" s="81"/>
      <c r="N63" s="149" t="e">
        <f>ROUND(((M62+N62)*31*24*0.000001),2)</f>
        <v>#REF!</v>
      </c>
      <c r="O63" s="156"/>
      <c r="P63" s="156" t="e">
        <f>ROUND(((O62+P62)*28*24*0.000001),2)</f>
        <v>#REF!</v>
      </c>
      <c r="Q63" s="156"/>
      <c r="R63" s="156" t="e">
        <f>ROUND(((Q62+R62)*31*24*0.000001),2)</f>
        <v>#REF!</v>
      </c>
      <c r="S63" s="156"/>
      <c r="T63" s="156" t="e">
        <f>ROUND(((S62+T62)*14*24*0.000001),2)</f>
        <v>#REF!</v>
      </c>
      <c r="U63" s="156"/>
      <c r="V63" s="156" t="e">
        <f>ROUND(((U62+V62)*21*24*0.000001),2)</f>
        <v>#REF!</v>
      </c>
      <c r="W63" s="156"/>
      <c r="X63" s="156" t="e">
        <f>ROUND(((W62+X62)*30*24*0.000001),2)</f>
        <v>#REF!</v>
      </c>
      <c r="Y63" s="156"/>
      <c r="Z63" s="157" t="e">
        <f>ROUND(((Y62+Z62)*31*24*0.000001),2)</f>
        <v>#REF!</v>
      </c>
      <c r="AA63" s="150" t="e">
        <f>N63+P63+R63+T63+V63+X63+Z63</f>
        <v>#REF!</v>
      </c>
    </row>
    <row r="64" spans="1:28" ht="15.75" x14ac:dyDescent="0.2">
      <c r="A64" s="81"/>
      <c r="B64" s="81"/>
      <c r="C64" s="81"/>
      <c r="D64" s="81"/>
      <c r="E64" s="81"/>
      <c r="F64" s="81"/>
      <c r="G64" s="81"/>
      <c r="H64" s="81"/>
      <c r="I64" s="81"/>
      <c r="J64" s="81"/>
      <c r="K64" s="81"/>
      <c r="L64" s="81"/>
      <c r="M64" s="81"/>
      <c r="N64" s="81"/>
      <c r="O64" s="81"/>
      <c r="P64" s="81"/>
      <c r="Q64" s="81"/>
      <c r="R64" s="81"/>
      <c r="S64" s="81"/>
      <c r="T64" s="81"/>
      <c r="U64" s="81"/>
      <c r="V64" s="81"/>
      <c r="W64" s="81"/>
      <c r="X64" s="81"/>
      <c r="Y64" s="81"/>
      <c r="Z64" s="145"/>
      <c r="AA64" s="147"/>
    </row>
    <row r="65" spans="1:37" ht="19.5" thickBot="1" x14ac:dyDescent="0.25">
      <c r="A65" s="160" t="s">
        <v>166</v>
      </c>
      <c r="B65" s="161"/>
      <c r="C65" s="161">
        <f>C59+C62</f>
        <v>126</v>
      </c>
      <c r="D65" s="161">
        <f>D59+D62</f>
        <v>126</v>
      </c>
      <c r="E65" s="161"/>
      <c r="F65" s="161"/>
      <c r="G65" s="161"/>
      <c r="H65" s="161"/>
      <c r="I65" s="161"/>
      <c r="J65" s="161"/>
      <c r="K65" s="161"/>
      <c r="L65" s="161"/>
      <c r="M65" s="162"/>
      <c r="N65" s="162"/>
      <c r="O65" s="162"/>
      <c r="P65" s="162"/>
      <c r="Q65" s="162"/>
      <c r="R65" s="162"/>
      <c r="S65" s="162"/>
      <c r="T65" s="162"/>
      <c r="U65" s="162"/>
      <c r="V65" s="162"/>
      <c r="W65" s="162"/>
      <c r="X65" s="162"/>
      <c r="Y65" s="162"/>
      <c r="Z65" s="163"/>
      <c r="AA65" s="164" t="e">
        <f>AA60+AA63</f>
        <v>#REF!</v>
      </c>
    </row>
    <row r="66" spans="1:37" s="41" customFormat="1" ht="13.5" thickBot="1" x14ac:dyDescent="0.25">
      <c r="B66" s="165" t="s">
        <v>140</v>
      </c>
      <c r="C66" s="41">
        <v>0</v>
      </c>
      <c r="AK66" s="166"/>
    </row>
    <row r="67" spans="1:37" s="41" customFormat="1" x14ac:dyDescent="0.2"/>
    <row r="68" spans="1:37" s="41" customFormat="1" x14ac:dyDescent="0.2"/>
    <row r="69" spans="1:37" s="41" customFormat="1" x14ac:dyDescent="0.2">
      <c r="A69" s="88"/>
      <c r="B69" s="167"/>
      <c r="C69" s="88"/>
      <c r="D69" s="88"/>
      <c r="E69" s="88"/>
      <c r="F69" s="88"/>
      <c r="G69" s="88"/>
    </row>
    <row r="70" spans="1:37" s="41" customFormat="1" x14ac:dyDescent="0.2">
      <c r="A70" s="88"/>
      <c r="B70" s="167"/>
      <c r="C70" s="88"/>
      <c r="D70" s="88"/>
      <c r="E70" s="88"/>
      <c r="F70" s="88"/>
      <c r="G70" s="88"/>
    </row>
    <row r="71" spans="1:37" s="41" customFormat="1" x14ac:dyDescent="0.2">
      <c r="A71" s="88"/>
      <c r="B71" s="167"/>
      <c r="C71" s="88"/>
      <c r="D71" s="88"/>
      <c r="E71" s="88"/>
      <c r="F71" s="88"/>
      <c r="G71" s="88"/>
    </row>
    <row r="72" spans="1:37" s="41" customFormat="1" x14ac:dyDescent="0.2">
      <c r="A72" s="88"/>
      <c r="B72" s="88"/>
      <c r="C72" s="88"/>
      <c r="D72" s="88"/>
      <c r="E72" s="88"/>
      <c r="F72" s="88"/>
      <c r="G72" s="88"/>
    </row>
    <row r="73" spans="1:37" s="41" customFormat="1" x14ac:dyDescent="0.2">
      <c r="A73" s="88"/>
      <c r="B73" s="88"/>
      <c r="C73" s="88"/>
      <c r="D73" s="88"/>
      <c r="E73" s="88"/>
      <c r="F73" s="88"/>
      <c r="G73" s="88"/>
    </row>
    <row r="74" spans="1:37" s="41" customFormat="1" x14ac:dyDescent="0.2"/>
    <row r="75" spans="1:37" s="41" customFormat="1" x14ac:dyDescent="0.2"/>
    <row r="76" spans="1:37" s="41" customFormat="1" x14ac:dyDescent="0.2"/>
    <row r="77" spans="1:37" s="41" customFormat="1" x14ac:dyDescent="0.2"/>
    <row r="78" spans="1:37" s="41" customFormat="1" x14ac:dyDescent="0.2"/>
    <row r="79" spans="1:37" s="41" customFormat="1" x14ac:dyDescent="0.2"/>
    <row r="80" spans="1:37" s="41" customFormat="1" x14ac:dyDescent="0.2"/>
    <row r="81" s="41" customFormat="1" x14ac:dyDescent="0.2"/>
    <row r="82" s="41" customFormat="1" x14ac:dyDescent="0.2"/>
    <row r="83" s="41" customFormat="1" x14ac:dyDescent="0.2"/>
    <row r="84" s="41" customFormat="1" x14ac:dyDescent="0.2"/>
    <row r="85" s="41" customFormat="1" x14ac:dyDescent="0.2"/>
    <row r="86" s="41" customFormat="1" x14ac:dyDescent="0.2"/>
    <row r="87" s="41" customFormat="1" x14ac:dyDescent="0.2"/>
    <row r="88" s="41" customFormat="1" x14ac:dyDescent="0.2"/>
    <row r="89" s="41" customFormat="1" x14ac:dyDescent="0.2"/>
    <row r="90" s="41" customFormat="1" x14ac:dyDescent="0.2"/>
    <row r="91" s="41" customFormat="1" x14ac:dyDescent="0.2"/>
    <row r="92" s="41" customFormat="1" x14ac:dyDescent="0.2"/>
    <row r="93" s="41" customFormat="1" x14ac:dyDescent="0.2"/>
    <row r="94" s="41" customFormat="1" x14ac:dyDescent="0.2"/>
    <row r="95" s="41" customFormat="1" x14ac:dyDescent="0.2"/>
    <row r="96" s="41" customFormat="1" x14ac:dyDescent="0.2"/>
    <row r="97" s="41" customFormat="1" x14ac:dyDescent="0.2"/>
    <row r="98" s="41" customFormat="1" x14ac:dyDescent="0.2"/>
    <row r="99" s="41" customFormat="1" x14ac:dyDescent="0.2"/>
    <row r="100" s="41" customFormat="1" x14ac:dyDescent="0.2"/>
    <row r="101" s="41" customFormat="1" x14ac:dyDescent="0.2"/>
    <row r="102" s="41" customFormat="1" x14ac:dyDescent="0.2"/>
    <row r="103" s="41" customFormat="1" x14ac:dyDescent="0.2"/>
    <row r="104" s="41" customFormat="1" x14ac:dyDescent="0.2"/>
    <row r="105" s="41" customFormat="1" x14ac:dyDescent="0.2"/>
    <row r="106" s="41" customFormat="1" x14ac:dyDescent="0.2"/>
    <row r="107" s="41" customFormat="1" x14ac:dyDescent="0.2"/>
    <row r="108" s="41" customFormat="1" x14ac:dyDescent="0.2"/>
    <row r="109" s="41" customFormat="1" x14ac:dyDescent="0.2"/>
    <row r="110" s="41" customFormat="1" x14ac:dyDescent="0.2"/>
    <row r="111" s="41" customFormat="1" x14ac:dyDescent="0.2"/>
    <row r="112" s="41" customFormat="1" x14ac:dyDescent="0.2"/>
    <row r="113" s="41" customFormat="1" x14ac:dyDescent="0.2"/>
    <row r="114" s="41" customFormat="1" x14ac:dyDescent="0.2"/>
    <row r="115" s="41" customFormat="1" x14ac:dyDescent="0.2"/>
    <row r="116" s="41" customFormat="1" x14ac:dyDescent="0.2"/>
    <row r="117" s="41" customFormat="1" x14ac:dyDescent="0.2"/>
    <row r="118" s="41" customFormat="1" x14ac:dyDescent="0.2"/>
    <row r="119" s="41" customFormat="1" x14ac:dyDescent="0.2"/>
    <row r="120" s="41" customFormat="1" x14ac:dyDescent="0.2"/>
    <row r="121" s="41" customFormat="1" x14ac:dyDescent="0.2"/>
    <row r="122" s="41" customFormat="1" x14ac:dyDescent="0.2"/>
    <row r="123" s="41" customFormat="1" x14ac:dyDescent="0.2"/>
    <row r="124" s="41" customFormat="1" x14ac:dyDescent="0.2"/>
    <row r="125" s="41" customFormat="1" x14ac:dyDescent="0.2"/>
    <row r="126" s="41" customFormat="1" x14ac:dyDescent="0.2"/>
    <row r="127" s="41" customFormat="1" x14ac:dyDescent="0.2"/>
    <row r="128" s="41" customFormat="1" x14ac:dyDescent="0.2"/>
    <row r="129" s="41" customFormat="1" x14ac:dyDescent="0.2"/>
    <row r="130" s="41" customFormat="1" x14ac:dyDescent="0.2"/>
    <row r="131" s="41" customFormat="1" x14ac:dyDescent="0.2"/>
    <row r="132" s="41" customFormat="1" x14ac:dyDescent="0.2"/>
    <row r="133" s="41" customFormat="1" x14ac:dyDescent="0.2"/>
    <row r="134" s="41" customFormat="1" x14ac:dyDescent="0.2"/>
    <row r="135" s="41" customFormat="1" x14ac:dyDescent="0.2"/>
    <row r="136" s="41" customFormat="1" x14ac:dyDescent="0.2"/>
    <row r="137" s="41" customFormat="1" x14ac:dyDescent="0.2"/>
    <row r="138" s="41" customFormat="1" x14ac:dyDescent="0.2"/>
    <row r="139" s="41" customFormat="1" x14ac:dyDescent="0.2"/>
    <row r="140" s="41" customFormat="1" x14ac:dyDescent="0.2"/>
    <row r="141" s="41" customFormat="1" x14ac:dyDescent="0.2"/>
    <row r="142" s="41" customFormat="1" x14ac:dyDescent="0.2"/>
    <row r="143" s="41" customFormat="1" x14ac:dyDescent="0.2"/>
    <row r="144" s="41" customFormat="1" x14ac:dyDescent="0.2"/>
    <row r="145" s="41" customFormat="1" x14ac:dyDescent="0.2"/>
    <row r="146" s="41" customFormat="1" x14ac:dyDescent="0.2"/>
    <row r="147" s="41" customFormat="1" x14ac:dyDescent="0.2"/>
    <row r="148" s="41" customFormat="1" x14ac:dyDescent="0.2"/>
    <row r="149" s="41" customFormat="1" x14ac:dyDescent="0.2"/>
    <row r="150" s="41" customFormat="1" x14ac:dyDescent="0.2"/>
    <row r="151" s="41" customFormat="1" x14ac:dyDescent="0.2"/>
    <row r="152" s="41" customFormat="1" x14ac:dyDescent="0.2"/>
    <row r="153" s="41" customFormat="1" x14ac:dyDescent="0.2"/>
    <row r="154" s="41" customFormat="1" x14ac:dyDescent="0.2"/>
    <row r="155" s="41" customFormat="1" x14ac:dyDescent="0.2"/>
    <row r="156" s="41" customFormat="1" x14ac:dyDescent="0.2"/>
    <row r="157" s="41" customFormat="1" x14ac:dyDescent="0.2"/>
    <row r="158" s="41" customFormat="1" x14ac:dyDescent="0.2"/>
    <row r="159" s="41" customFormat="1" x14ac:dyDescent="0.2"/>
    <row r="160" s="41" customFormat="1" x14ac:dyDescent="0.2"/>
    <row r="161" spans="34:37" s="41" customFormat="1" x14ac:dyDescent="0.2"/>
    <row r="162" spans="34:37" s="41" customFormat="1" x14ac:dyDescent="0.2"/>
    <row r="163" spans="34:37" s="41" customFormat="1" x14ac:dyDescent="0.2"/>
    <row r="164" spans="34:37" s="41" customFormat="1" x14ac:dyDescent="0.2"/>
    <row r="165" spans="34:37" s="41" customFormat="1" x14ac:dyDescent="0.2"/>
    <row r="166" spans="34:37" s="41" customFormat="1" x14ac:dyDescent="0.2"/>
    <row r="167" spans="34:37" s="41" customFormat="1" x14ac:dyDescent="0.2"/>
    <row r="168" spans="34:37" s="41" customFormat="1" x14ac:dyDescent="0.2"/>
    <row r="169" spans="34:37" s="41" customFormat="1" x14ac:dyDescent="0.2"/>
    <row r="170" spans="34:37" s="41" customFormat="1" x14ac:dyDescent="0.2"/>
    <row r="171" spans="34:37" s="41" customFormat="1" x14ac:dyDescent="0.2"/>
    <row r="172" spans="34:37" s="41" customFormat="1" x14ac:dyDescent="0.2"/>
    <row r="173" spans="34:37" s="41" customFormat="1" x14ac:dyDescent="0.2"/>
    <row r="174" spans="34:37" s="41" customFormat="1" x14ac:dyDescent="0.2"/>
    <row r="175" spans="34:37" s="41" customFormat="1" x14ac:dyDescent="0.2"/>
    <row r="176" spans="34:37" x14ac:dyDescent="0.2">
      <c r="AH176" s="15"/>
      <c r="AI176" s="15"/>
      <c r="AJ176" s="41"/>
      <c r="AK176" s="41"/>
    </row>
    <row r="177" spans="34:37" x14ac:dyDescent="0.2">
      <c r="AH177" s="15"/>
      <c r="AI177" s="15"/>
      <c r="AJ177" s="41"/>
      <c r="AK177" s="41"/>
    </row>
    <row r="178" spans="34:37" x14ac:dyDescent="0.2">
      <c r="AH178" s="15"/>
      <c r="AI178" s="15"/>
      <c r="AJ178" s="41"/>
      <c r="AK178" s="41"/>
    </row>
    <row r="179" spans="34:37" x14ac:dyDescent="0.2">
      <c r="AH179" s="15"/>
      <c r="AI179" s="15"/>
      <c r="AJ179" s="41"/>
      <c r="AK179" s="41"/>
    </row>
    <row r="180" spans="34:37" x14ac:dyDescent="0.2">
      <c r="AH180" s="15"/>
      <c r="AI180" s="15"/>
      <c r="AJ180" s="41"/>
      <c r="AK180" s="41"/>
    </row>
    <row r="181" spans="34:37" x14ac:dyDescent="0.2">
      <c r="AH181" s="15"/>
      <c r="AI181" s="15"/>
      <c r="AJ181" s="41"/>
      <c r="AK181" s="41"/>
    </row>
    <row r="182" spans="34:37" x14ac:dyDescent="0.2">
      <c r="AH182" s="15"/>
      <c r="AI182" s="15"/>
      <c r="AJ182" s="41"/>
      <c r="AK182" s="41"/>
    </row>
    <row r="183" spans="34:37" x14ac:dyDescent="0.2">
      <c r="AH183" s="15"/>
      <c r="AI183" s="15"/>
      <c r="AJ183" s="41"/>
      <c r="AK183" s="41"/>
    </row>
    <row r="184" spans="34:37" x14ac:dyDescent="0.2">
      <c r="AH184" s="15"/>
      <c r="AI184" s="15"/>
      <c r="AJ184" s="41"/>
      <c r="AK184" s="41"/>
    </row>
    <row r="185" spans="34:37" x14ac:dyDescent="0.2">
      <c r="AH185" s="15"/>
      <c r="AI185" s="15"/>
      <c r="AJ185" s="41"/>
      <c r="AK185" s="41"/>
    </row>
    <row r="186" spans="34:37" x14ac:dyDescent="0.2">
      <c r="AH186" s="15"/>
      <c r="AI186" s="15"/>
      <c r="AJ186" s="41"/>
      <c r="AK186" s="41"/>
    </row>
    <row r="187" spans="34:37" x14ac:dyDescent="0.2">
      <c r="AH187" s="15"/>
      <c r="AI187" s="15"/>
      <c r="AJ187" s="41"/>
      <c r="AK187" s="41"/>
    </row>
    <row r="188" spans="34:37" x14ac:dyDescent="0.2">
      <c r="AH188" s="15"/>
      <c r="AI188" s="15"/>
      <c r="AJ188" s="41"/>
      <c r="AK188" s="41"/>
    </row>
    <row r="189" spans="34:37" x14ac:dyDescent="0.2">
      <c r="AH189" s="15"/>
      <c r="AI189" s="15"/>
      <c r="AJ189" s="41"/>
      <c r="AK189" s="41"/>
    </row>
    <row r="190" spans="34:37" x14ac:dyDescent="0.2">
      <c r="AH190" s="15"/>
      <c r="AI190" s="15"/>
      <c r="AJ190" s="41"/>
      <c r="AK190" s="41"/>
    </row>
    <row r="191" spans="34:37" x14ac:dyDescent="0.2">
      <c r="AH191" s="15"/>
      <c r="AI191" s="15"/>
      <c r="AJ191" s="41"/>
      <c r="AK191" s="41"/>
    </row>
    <row r="192" spans="34:37" x14ac:dyDescent="0.2">
      <c r="AH192" s="15"/>
      <c r="AI192" s="15"/>
      <c r="AJ192" s="41"/>
      <c r="AK192" s="41"/>
    </row>
    <row r="193" spans="34:37" x14ac:dyDescent="0.2">
      <c r="AH193" s="15"/>
      <c r="AI193" s="15"/>
      <c r="AJ193" s="41"/>
      <c r="AK193" s="41"/>
    </row>
    <row r="194" spans="34:37" x14ac:dyDescent="0.2">
      <c r="AH194" s="15"/>
      <c r="AI194" s="15"/>
      <c r="AJ194" s="41"/>
      <c r="AK194" s="41"/>
    </row>
    <row r="195" spans="34:37" x14ac:dyDescent="0.2">
      <c r="AH195" s="15"/>
      <c r="AI195" s="15"/>
      <c r="AJ195" s="41"/>
      <c r="AK195" s="41"/>
    </row>
    <row r="196" spans="34:37" x14ac:dyDescent="0.2">
      <c r="AH196" s="15"/>
      <c r="AI196" s="15"/>
      <c r="AJ196" s="41"/>
      <c r="AK196" s="41"/>
    </row>
    <row r="197" spans="34:37" x14ac:dyDescent="0.2">
      <c r="AH197" s="15"/>
      <c r="AI197" s="15"/>
      <c r="AJ197" s="41"/>
      <c r="AK197" s="41"/>
    </row>
    <row r="198" spans="34:37" x14ac:dyDescent="0.2">
      <c r="AH198" s="15"/>
      <c r="AI198" s="15"/>
      <c r="AJ198" s="41"/>
      <c r="AK198" s="41"/>
    </row>
    <row r="199" spans="34:37" x14ac:dyDescent="0.2">
      <c r="AH199" s="15"/>
      <c r="AI199" s="15"/>
      <c r="AJ199" s="41"/>
      <c r="AK199" s="41"/>
    </row>
    <row r="200" spans="34:37" x14ac:dyDescent="0.2">
      <c r="AH200" s="15"/>
      <c r="AI200" s="15"/>
      <c r="AJ200" s="41"/>
      <c r="AK200" s="41"/>
    </row>
    <row r="201" spans="34:37" x14ac:dyDescent="0.2">
      <c r="AH201" s="15"/>
      <c r="AI201" s="15"/>
      <c r="AJ201" s="41"/>
      <c r="AK201" s="41"/>
    </row>
    <row r="202" spans="34:37" x14ac:dyDescent="0.2">
      <c r="AH202" s="15"/>
      <c r="AI202" s="15"/>
      <c r="AJ202" s="41"/>
      <c r="AK202" s="41"/>
    </row>
    <row r="203" spans="34:37" x14ac:dyDescent="0.2">
      <c r="AH203" s="15"/>
      <c r="AI203" s="15"/>
      <c r="AJ203" s="41"/>
      <c r="AK203" s="41"/>
    </row>
    <row r="204" spans="34:37" x14ac:dyDescent="0.2">
      <c r="AH204" s="15"/>
      <c r="AI204" s="15"/>
      <c r="AJ204" s="41"/>
      <c r="AK204" s="41"/>
    </row>
    <row r="205" spans="34:37" x14ac:dyDescent="0.2">
      <c r="AH205" s="15"/>
      <c r="AI205" s="15"/>
      <c r="AJ205" s="41"/>
      <c r="AK205" s="41"/>
    </row>
    <row r="206" spans="34:37" x14ac:dyDescent="0.2">
      <c r="AH206" s="15"/>
      <c r="AI206" s="15"/>
      <c r="AJ206" s="41"/>
      <c r="AK206" s="41"/>
    </row>
    <row r="207" spans="34:37" x14ac:dyDescent="0.2">
      <c r="AH207" s="15"/>
      <c r="AI207" s="15"/>
      <c r="AJ207" s="41"/>
      <c r="AK207" s="41"/>
    </row>
    <row r="208" spans="34:37" x14ac:dyDescent="0.2">
      <c r="AH208" s="15"/>
      <c r="AI208" s="15"/>
      <c r="AJ208" s="41"/>
      <c r="AK208" s="41"/>
    </row>
    <row r="209" spans="34:37" x14ac:dyDescent="0.2">
      <c r="AH209" s="15"/>
      <c r="AI209" s="15"/>
      <c r="AJ209" s="41"/>
      <c r="AK209" s="41"/>
    </row>
    <row r="210" spans="34:37" x14ac:dyDescent="0.2">
      <c r="AH210" s="15"/>
      <c r="AI210" s="15"/>
      <c r="AJ210" s="41"/>
      <c r="AK210" s="41"/>
    </row>
    <row r="211" spans="34:37" x14ac:dyDescent="0.2">
      <c r="AH211" s="15"/>
      <c r="AI211" s="15"/>
      <c r="AJ211" s="41"/>
      <c r="AK211" s="41"/>
    </row>
    <row r="212" spans="34:37" x14ac:dyDescent="0.2">
      <c r="AH212" s="15"/>
      <c r="AI212" s="15"/>
      <c r="AJ212" s="41"/>
      <c r="AK212" s="41"/>
    </row>
    <row r="213" spans="34:37" x14ac:dyDescent="0.2">
      <c r="AH213" s="15"/>
      <c r="AI213" s="15"/>
      <c r="AJ213" s="41"/>
      <c r="AK213" s="41"/>
    </row>
    <row r="214" spans="34:37" x14ac:dyDescent="0.2">
      <c r="AH214" s="15"/>
      <c r="AI214" s="15"/>
      <c r="AJ214" s="41"/>
      <c r="AK214" s="41"/>
    </row>
    <row r="215" spans="34:37" x14ac:dyDescent="0.2">
      <c r="AH215" s="15"/>
      <c r="AI215" s="15"/>
      <c r="AJ215" s="41"/>
      <c r="AK215" s="41"/>
    </row>
    <row r="216" spans="34:37" x14ac:dyDescent="0.2">
      <c r="AH216" s="15"/>
      <c r="AI216" s="15"/>
      <c r="AJ216" s="41"/>
      <c r="AK216" s="41"/>
    </row>
    <row r="217" spans="34:37" x14ac:dyDescent="0.2">
      <c r="AH217" s="15"/>
      <c r="AI217" s="15"/>
      <c r="AJ217" s="41"/>
      <c r="AK217" s="41"/>
    </row>
    <row r="218" spans="34:37" x14ac:dyDescent="0.2">
      <c r="AH218" s="15"/>
      <c r="AI218" s="15"/>
      <c r="AJ218" s="41"/>
      <c r="AK218" s="41"/>
    </row>
    <row r="219" spans="34:37" x14ac:dyDescent="0.2">
      <c r="AH219" s="15"/>
      <c r="AI219" s="15"/>
      <c r="AJ219" s="41"/>
      <c r="AK219" s="41"/>
    </row>
    <row r="220" spans="34:37" x14ac:dyDescent="0.2">
      <c r="AH220" s="15"/>
      <c r="AI220" s="15"/>
      <c r="AJ220" s="41"/>
      <c r="AK220" s="41"/>
    </row>
    <row r="221" spans="34:37" x14ac:dyDescent="0.2">
      <c r="AH221" s="15"/>
      <c r="AI221" s="15"/>
      <c r="AJ221" s="41"/>
      <c r="AK221" s="41"/>
    </row>
    <row r="222" spans="34:37" x14ac:dyDescent="0.2">
      <c r="AH222" s="15"/>
      <c r="AI222" s="15"/>
      <c r="AJ222" s="41"/>
      <c r="AK222" s="41"/>
    </row>
    <row r="223" spans="34:37" x14ac:dyDescent="0.2">
      <c r="AH223" s="15"/>
      <c r="AI223" s="15"/>
      <c r="AJ223" s="41"/>
      <c r="AK223" s="41"/>
    </row>
    <row r="224" spans="34:37" x14ac:dyDescent="0.2">
      <c r="AH224" s="15"/>
      <c r="AI224" s="15"/>
      <c r="AJ224" s="41"/>
      <c r="AK224" s="41"/>
    </row>
    <row r="225" spans="34:37" x14ac:dyDescent="0.2">
      <c r="AH225" s="15"/>
      <c r="AI225" s="15"/>
      <c r="AJ225" s="41"/>
      <c r="AK225" s="41"/>
    </row>
    <row r="226" spans="34:37" x14ac:dyDescent="0.2">
      <c r="AH226" s="15"/>
      <c r="AI226" s="15"/>
      <c r="AJ226" s="41"/>
      <c r="AK226" s="41"/>
    </row>
    <row r="227" spans="34:37" x14ac:dyDescent="0.2">
      <c r="AH227" s="15"/>
      <c r="AI227" s="15"/>
      <c r="AJ227" s="41"/>
      <c r="AK227" s="41"/>
    </row>
    <row r="228" spans="34:37" x14ac:dyDescent="0.2">
      <c r="AH228" s="15"/>
      <c r="AI228" s="15"/>
      <c r="AJ228" s="41"/>
      <c r="AK228" s="41"/>
    </row>
    <row r="229" spans="34:37" x14ac:dyDescent="0.2">
      <c r="AH229" s="15"/>
      <c r="AI229" s="15"/>
      <c r="AJ229" s="41"/>
      <c r="AK229" s="41"/>
    </row>
    <row r="230" spans="34:37" x14ac:dyDescent="0.2">
      <c r="AH230" s="15"/>
      <c r="AI230" s="15"/>
      <c r="AJ230" s="41"/>
      <c r="AK230" s="41"/>
    </row>
    <row r="231" spans="34:37" x14ac:dyDescent="0.2">
      <c r="AH231" s="15"/>
      <c r="AI231" s="15"/>
      <c r="AJ231" s="41"/>
      <c r="AK231" s="41"/>
    </row>
    <row r="232" spans="34:37" x14ac:dyDescent="0.2">
      <c r="AH232" s="15"/>
      <c r="AI232" s="15"/>
      <c r="AJ232" s="41"/>
      <c r="AK232" s="41"/>
    </row>
    <row r="233" spans="34:37" x14ac:dyDescent="0.2">
      <c r="AH233" s="15"/>
      <c r="AI233" s="15"/>
      <c r="AJ233" s="41"/>
      <c r="AK233" s="41"/>
    </row>
    <row r="234" spans="34:37" x14ac:dyDescent="0.2">
      <c r="AH234" s="15"/>
      <c r="AI234" s="15"/>
      <c r="AJ234" s="41"/>
      <c r="AK234" s="41"/>
    </row>
    <row r="235" spans="34:37" x14ac:dyDescent="0.2">
      <c r="AH235" s="15"/>
      <c r="AI235" s="15"/>
      <c r="AJ235" s="41"/>
      <c r="AK235" s="41"/>
    </row>
    <row r="236" spans="34:37" x14ac:dyDescent="0.2">
      <c r="AH236" s="15"/>
      <c r="AI236" s="15"/>
      <c r="AJ236" s="41"/>
      <c r="AK236" s="41"/>
    </row>
    <row r="237" spans="34:37" x14ac:dyDescent="0.2">
      <c r="AH237" s="15"/>
      <c r="AI237" s="15"/>
      <c r="AJ237" s="41"/>
      <c r="AK237" s="41"/>
    </row>
    <row r="238" spans="34:37" x14ac:dyDescent="0.2">
      <c r="AH238" s="15"/>
      <c r="AI238" s="15"/>
      <c r="AJ238" s="41"/>
      <c r="AK238" s="41"/>
    </row>
    <row r="239" spans="34:37" x14ac:dyDescent="0.2">
      <c r="AH239" s="15"/>
      <c r="AI239" s="15"/>
      <c r="AJ239" s="41"/>
      <c r="AK239" s="41"/>
    </row>
    <row r="240" spans="34:37" x14ac:dyDescent="0.2">
      <c r="AH240" s="15"/>
      <c r="AI240" s="15"/>
      <c r="AJ240" s="41"/>
      <c r="AK240" s="41"/>
    </row>
    <row r="241" spans="34:37" x14ac:dyDescent="0.2">
      <c r="AH241" s="15"/>
      <c r="AI241" s="15"/>
      <c r="AJ241" s="41"/>
      <c r="AK241" s="41"/>
    </row>
    <row r="242" spans="34:37" x14ac:dyDescent="0.2">
      <c r="AH242" s="15"/>
      <c r="AI242" s="15"/>
      <c r="AJ242" s="41"/>
      <c r="AK242" s="41"/>
    </row>
    <row r="243" spans="34:37" x14ac:dyDescent="0.2">
      <c r="AH243" s="15"/>
      <c r="AI243" s="15"/>
      <c r="AJ243" s="41"/>
      <c r="AK243" s="41"/>
    </row>
    <row r="244" spans="34:37" x14ac:dyDescent="0.2">
      <c r="AH244" s="15"/>
      <c r="AI244" s="15"/>
      <c r="AJ244" s="41"/>
      <c r="AK244" s="41"/>
    </row>
    <row r="245" spans="34:37" x14ac:dyDescent="0.2">
      <c r="AH245" s="15"/>
      <c r="AI245" s="15"/>
      <c r="AJ245" s="41"/>
      <c r="AK245" s="41"/>
    </row>
    <row r="246" spans="34:37" x14ac:dyDescent="0.2">
      <c r="AH246" s="15"/>
      <c r="AI246" s="15"/>
      <c r="AJ246" s="41"/>
      <c r="AK246" s="41"/>
    </row>
    <row r="247" spans="34:37" x14ac:dyDescent="0.2">
      <c r="AH247" s="15"/>
      <c r="AI247" s="15"/>
      <c r="AJ247" s="41"/>
      <c r="AK247" s="41"/>
    </row>
    <row r="248" spans="34:37" x14ac:dyDescent="0.2">
      <c r="AH248" s="15"/>
      <c r="AI248" s="15"/>
      <c r="AJ248" s="41"/>
      <c r="AK248" s="41"/>
    </row>
    <row r="249" spans="34:37" x14ac:dyDescent="0.2">
      <c r="AH249" s="15"/>
      <c r="AI249" s="15"/>
      <c r="AJ249" s="41"/>
      <c r="AK249" s="41"/>
    </row>
    <row r="250" spans="34:37" x14ac:dyDescent="0.2">
      <c r="AH250" s="15"/>
      <c r="AI250" s="15"/>
      <c r="AJ250" s="41"/>
      <c r="AK250" s="41"/>
    </row>
    <row r="251" spans="34:37" x14ac:dyDescent="0.2">
      <c r="AH251" s="15"/>
      <c r="AI251" s="15"/>
      <c r="AJ251" s="41"/>
      <c r="AK251" s="41"/>
    </row>
    <row r="252" spans="34:37" x14ac:dyDescent="0.2">
      <c r="AH252" s="15"/>
      <c r="AI252" s="15"/>
      <c r="AJ252" s="41"/>
      <c r="AK252" s="41"/>
    </row>
    <row r="253" spans="34:37" x14ac:dyDescent="0.2">
      <c r="AH253" s="15"/>
      <c r="AI253" s="15"/>
      <c r="AJ253" s="41"/>
      <c r="AK253" s="41"/>
    </row>
    <row r="254" spans="34:37" x14ac:dyDescent="0.2">
      <c r="AH254" s="15"/>
      <c r="AI254" s="15"/>
      <c r="AJ254" s="41"/>
      <c r="AK254" s="41"/>
    </row>
    <row r="255" spans="34:37" x14ac:dyDescent="0.2">
      <c r="AH255" s="15"/>
      <c r="AI255" s="15"/>
      <c r="AJ255" s="41"/>
      <c r="AK255" s="41"/>
    </row>
    <row r="256" spans="34:37" x14ac:dyDescent="0.2">
      <c r="AH256" s="15"/>
      <c r="AI256" s="15"/>
      <c r="AJ256" s="41"/>
      <c r="AK256" s="41"/>
    </row>
    <row r="257" spans="34:37" x14ac:dyDescent="0.2">
      <c r="AH257" s="15"/>
      <c r="AI257" s="15"/>
      <c r="AJ257" s="41"/>
      <c r="AK257" s="41"/>
    </row>
    <row r="258" spans="34:37" x14ac:dyDescent="0.2">
      <c r="AH258" s="15"/>
      <c r="AI258" s="15"/>
      <c r="AJ258" s="41"/>
      <c r="AK258" s="41"/>
    </row>
    <row r="259" spans="34:37" x14ac:dyDescent="0.2">
      <c r="AH259" s="15"/>
      <c r="AI259" s="15"/>
      <c r="AJ259" s="41"/>
      <c r="AK259" s="41"/>
    </row>
    <row r="260" spans="34:37" x14ac:dyDescent="0.2">
      <c r="AH260" s="15"/>
      <c r="AI260" s="15"/>
      <c r="AJ260" s="41"/>
      <c r="AK260" s="41"/>
    </row>
    <row r="261" spans="34:37" x14ac:dyDescent="0.2">
      <c r="AH261" s="15"/>
      <c r="AI261" s="15"/>
      <c r="AJ261" s="41"/>
      <c r="AK261" s="41"/>
    </row>
    <row r="262" spans="34:37" x14ac:dyDescent="0.2">
      <c r="AH262" s="15"/>
      <c r="AI262" s="15"/>
      <c r="AJ262" s="41"/>
      <c r="AK262" s="41"/>
    </row>
    <row r="263" spans="34:37" x14ac:dyDescent="0.2">
      <c r="AH263" s="15"/>
      <c r="AI263" s="15"/>
      <c r="AJ263" s="41"/>
      <c r="AK263" s="41"/>
    </row>
    <row r="264" spans="34:37" x14ac:dyDescent="0.2">
      <c r="AH264" s="15"/>
      <c r="AI264" s="15"/>
      <c r="AJ264" s="41"/>
      <c r="AK264" s="41"/>
    </row>
    <row r="265" spans="34:37" x14ac:dyDescent="0.2">
      <c r="AH265" s="15"/>
      <c r="AI265" s="15"/>
      <c r="AJ265" s="41"/>
      <c r="AK265" s="41"/>
    </row>
    <row r="266" spans="34:37" x14ac:dyDescent="0.2">
      <c r="AH266" s="15"/>
      <c r="AI266" s="15"/>
      <c r="AJ266" s="41"/>
      <c r="AK266" s="41"/>
    </row>
    <row r="267" spans="34:37" x14ac:dyDescent="0.2">
      <c r="AH267" s="15"/>
      <c r="AI267" s="15"/>
      <c r="AJ267" s="41"/>
      <c r="AK267" s="41"/>
    </row>
    <row r="268" spans="34:37" x14ac:dyDescent="0.2">
      <c r="AH268" s="15"/>
      <c r="AI268" s="15"/>
      <c r="AJ268" s="41"/>
      <c r="AK268" s="41"/>
    </row>
    <row r="269" spans="34:37" x14ac:dyDescent="0.2">
      <c r="AH269" s="15"/>
      <c r="AI269" s="15"/>
      <c r="AJ269" s="41"/>
      <c r="AK269" s="41"/>
    </row>
    <row r="270" spans="34:37" x14ac:dyDescent="0.2">
      <c r="AH270" s="15"/>
      <c r="AI270" s="15"/>
      <c r="AJ270" s="41"/>
      <c r="AK270" s="41"/>
    </row>
    <row r="271" spans="34:37" x14ac:dyDescent="0.2">
      <c r="AH271" s="15"/>
      <c r="AI271" s="15"/>
      <c r="AJ271" s="41"/>
      <c r="AK271" s="41"/>
    </row>
    <row r="272" spans="34:37" x14ac:dyDescent="0.2">
      <c r="AH272" s="15"/>
      <c r="AI272" s="15"/>
      <c r="AJ272" s="41"/>
      <c r="AK272" s="41"/>
    </row>
    <row r="273" spans="34:37" x14ac:dyDescent="0.2">
      <c r="AH273" s="15"/>
      <c r="AI273" s="15"/>
      <c r="AJ273" s="41"/>
      <c r="AK273" s="41"/>
    </row>
    <row r="274" spans="34:37" x14ac:dyDescent="0.2">
      <c r="AH274" s="15"/>
      <c r="AI274" s="15"/>
      <c r="AJ274" s="41"/>
      <c r="AK274" s="41"/>
    </row>
    <row r="275" spans="34:37" x14ac:dyDescent="0.2">
      <c r="AH275" s="15"/>
      <c r="AI275" s="15"/>
      <c r="AJ275" s="41"/>
      <c r="AK275" s="41"/>
    </row>
    <row r="276" spans="34:37" x14ac:dyDescent="0.2">
      <c r="AH276" s="15"/>
      <c r="AI276" s="15"/>
      <c r="AJ276" s="41"/>
      <c r="AK276" s="41"/>
    </row>
    <row r="277" spans="34:37" x14ac:dyDescent="0.2">
      <c r="AH277" s="15"/>
      <c r="AI277" s="15"/>
      <c r="AJ277" s="41"/>
      <c r="AK277" s="41"/>
    </row>
    <row r="278" spans="34:37" x14ac:dyDescent="0.2">
      <c r="AH278" s="15"/>
      <c r="AI278" s="15"/>
      <c r="AJ278" s="41"/>
      <c r="AK278" s="41"/>
    </row>
    <row r="279" spans="34:37" x14ac:dyDescent="0.2">
      <c r="AH279" s="15"/>
      <c r="AI279" s="15"/>
      <c r="AJ279" s="41"/>
      <c r="AK279" s="41"/>
    </row>
    <row r="280" spans="34:37" x14ac:dyDescent="0.2">
      <c r="AH280" s="15"/>
      <c r="AI280" s="15"/>
      <c r="AJ280" s="41"/>
      <c r="AK280" s="41"/>
    </row>
    <row r="281" spans="34:37" x14ac:dyDescent="0.2">
      <c r="AH281" s="15"/>
      <c r="AI281" s="15"/>
      <c r="AJ281" s="41"/>
      <c r="AK281" s="41"/>
    </row>
    <row r="282" spans="34:37" x14ac:dyDescent="0.2">
      <c r="AH282" s="15"/>
      <c r="AI282" s="15"/>
      <c r="AJ282" s="41"/>
      <c r="AK282" s="41"/>
    </row>
    <row r="283" spans="34:37" x14ac:dyDescent="0.2">
      <c r="AH283" s="15"/>
      <c r="AI283" s="15"/>
      <c r="AJ283" s="41"/>
      <c r="AK283" s="41"/>
    </row>
    <row r="284" spans="34:37" x14ac:dyDescent="0.2">
      <c r="AH284" s="15"/>
      <c r="AI284" s="15"/>
      <c r="AJ284" s="41"/>
      <c r="AK284" s="41"/>
    </row>
    <row r="285" spans="34:37" x14ac:dyDescent="0.2">
      <c r="AH285" s="15"/>
      <c r="AI285" s="15"/>
      <c r="AJ285" s="41"/>
      <c r="AK285" s="41"/>
    </row>
    <row r="286" spans="34:37" x14ac:dyDescent="0.2">
      <c r="AH286" s="15"/>
      <c r="AI286" s="15"/>
      <c r="AJ286" s="41"/>
      <c r="AK286" s="41"/>
    </row>
    <row r="287" spans="34:37" x14ac:dyDescent="0.2">
      <c r="AH287" s="15"/>
      <c r="AI287" s="15"/>
      <c r="AJ287" s="41"/>
      <c r="AK287" s="41"/>
    </row>
    <row r="288" spans="34:37" x14ac:dyDescent="0.2">
      <c r="AH288" s="15"/>
      <c r="AI288" s="15"/>
      <c r="AJ288" s="41"/>
      <c r="AK288" s="41"/>
    </row>
    <row r="289" spans="34:37" x14ac:dyDescent="0.2">
      <c r="AH289" s="15"/>
      <c r="AI289" s="15"/>
      <c r="AJ289" s="41"/>
      <c r="AK289" s="41"/>
    </row>
    <row r="290" spans="34:37" x14ac:dyDescent="0.2">
      <c r="AH290" s="15"/>
      <c r="AI290" s="15"/>
      <c r="AJ290" s="41"/>
      <c r="AK290" s="41"/>
    </row>
    <row r="291" spans="34:37" x14ac:dyDescent="0.2">
      <c r="AH291" s="15"/>
      <c r="AI291" s="15"/>
      <c r="AJ291" s="41"/>
      <c r="AK291" s="41"/>
    </row>
    <row r="292" spans="34:37" x14ac:dyDescent="0.2">
      <c r="AH292" s="15"/>
      <c r="AI292" s="15"/>
      <c r="AJ292" s="41"/>
      <c r="AK292" s="41"/>
    </row>
    <row r="293" spans="34:37" x14ac:dyDescent="0.2">
      <c r="AH293" s="15"/>
      <c r="AI293" s="15"/>
      <c r="AJ293" s="41"/>
      <c r="AK293" s="41"/>
    </row>
    <row r="294" spans="34:37" x14ac:dyDescent="0.2">
      <c r="AH294" s="15"/>
      <c r="AI294" s="15"/>
      <c r="AJ294" s="41"/>
      <c r="AK294" s="41"/>
    </row>
    <row r="295" spans="34:37" x14ac:dyDescent="0.2">
      <c r="AH295" s="15"/>
      <c r="AI295" s="15"/>
      <c r="AJ295" s="41"/>
      <c r="AK295" s="41"/>
    </row>
    <row r="296" spans="34:37" x14ac:dyDescent="0.2">
      <c r="AH296" s="15"/>
      <c r="AI296" s="15"/>
      <c r="AJ296" s="41"/>
      <c r="AK296" s="41"/>
    </row>
    <row r="297" spans="34:37" x14ac:dyDescent="0.2">
      <c r="AH297" s="15"/>
      <c r="AI297" s="15"/>
      <c r="AJ297" s="41"/>
      <c r="AK297" s="41"/>
    </row>
    <row r="298" spans="34:37" x14ac:dyDescent="0.2">
      <c r="AH298" s="15"/>
      <c r="AI298" s="15"/>
      <c r="AJ298" s="41"/>
      <c r="AK298" s="41"/>
    </row>
    <row r="299" spans="34:37" x14ac:dyDescent="0.2">
      <c r="AH299" s="15"/>
      <c r="AI299" s="15"/>
      <c r="AJ299" s="41"/>
      <c r="AK299" s="41"/>
    </row>
    <row r="300" spans="34:37" x14ac:dyDescent="0.2">
      <c r="AH300" s="15"/>
      <c r="AI300" s="15"/>
      <c r="AJ300" s="41"/>
      <c r="AK300" s="41"/>
    </row>
    <row r="301" spans="34:37" x14ac:dyDescent="0.2">
      <c r="AH301" s="15"/>
      <c r="AI301" s="15"/>
      <c r="AJ301" s="41"/>
      <c r="AK301" s="41"/>
    </row>
    <row r="302" spans="34:37" x14ac:dyDescent="0.2">
      <c r="AH302" s="15"/>
      <c r="AI302" s="15"/>
      <c r="AJ302" s="41"/>
      <c r="AK302" s="41"/>
    </row>
    <row r="303" spans="34:37" x14ac:dyDescent="0.2">
      <c r="AH303" s="15"/>
      <c r="AI303" s="15"/>
      <c r="AJ303" s="41"/>
      <c r="AK303" s="41"/>
    </row>
    <row r="304" spans="34:37" x14ac:dyDescent="0.2">
      <c r="AH304" s="15"/>
      <c r="AI304" s="15"/>
      <c r="AJ304" s="41"/>
      <c r="AK304" s="41"/>
    </row>
    <row r="305" spans="34:37" x14ac:dyDescent="0.2">
      <c r="AH305" s="15"/>
      <c r="AI305" s="15"/>
      <c r="AJ305" s="41"/>
      <c r="AK305" s="41"/>
    </row>
    <row r="306" spans="34:37" x14ac:dyDescent="0.2">
      <c r="AH306" s="15"/>
      <c r="AI306" s="15"/>
      <c r="AJ306" s="41"/>
      <c r="AK306" s="41"/>
    </row>
    <row r="307" spans="34:37" x14ac:dyDescent="0.2">
      <c r="AH307" s="15"/>
      <c r="AI307" s="15"/>
      <c r="AJ307" s="41"/>
      <c r="AK307" s="41"/>
    </row>
    <row r="308" spans="34:37" x14ac:dyDescent="0.2">
      <c r="AH308" s="15"/>
      <c r="AI308" s="15"/>
      <c r="AJ308" s="41"/>
      <c r="AK308" s="41"/>
    </row>
    <row r="309" spans="34:37" x14ac:dyDescent="0.2">
      <c r="AH309" s="15"/>
      <c r="AI309" s="15"/>
      <c r="AJ309" s="41"/>
      <c r="AK309" s="41"/>
    </row>
    <row r="310" spans="34:37" x14ac:dyDescent="0.2">
      <c r="AH310" s="15"/>
      <c r="AI310" s="15"/>
      <c r="AJ310" s="41"/>
      <c r="AK310" s="41"/>
    </row>
    <row r="311" spans="34:37" x14ac:dyDescent="0.2">
      <c r="AH311" s="15"/>
      <c r="AI311" s="15"/>
      <c r="AJ311" s="41"/>
      <c r="AK311" s="41"/>
    </row>
    <row r="312" spans="34:37" x14ac:dyDescent="0.2">
      <c r="AH312" s="15"/>
      <c r="AI312" s="15"/>
      <c r="AJ312" s="41"/>
      <c r="AK312" s="41"/>
    </row>
    <row r="313" spans="34:37" x14ac:dyDescent="0.2">
      <c r="AH313" s="15"/>
      <c r="AI313" s="15"/>
      <c r="AJ313" s="41"/>
      <c r="AK313" s="41"/>
    </row>
    <row r="314" spans="34:37" x14ac:dyDescent="0.2">
      <c r="AH314" s="15"/>
      <c r="AI314" s="15"/>
      <c r="AJ314" s="41"/>
      <c r="AK314" s="41"/>
    </row>
    <row r="315" spans="34:37" x14ac:dyDescent="0.2">
      <c r="AH315" s="15"/>
      <c r="AI315" s="15"/>
      <c r="AJ315" s="41"/>
      <c r="AK315" s="41"/>
    </row>
    <row r="316" spans="34:37" x14ac:dyDescent="0.2">
      <c r="AH316" s="15"/>
      <c r="AI316" s="15"/>
      <c r="AJ316" s="41"/>
      <c r="AK316" s="41"/>
    </row>
    <row r="317" spans="34:37" x14ac:dyDescent="0.2">
      <c r="AH317" s="15"/>
      <c r="AI317" s="15"/>
      <c r="AJ317" s="41"/>
      <c r="AK317" s="41"/>
    </row>
    <row r="318" spans="34:37" x14ac:dyDescent="0.2">
      <c r="AH318" s="15"/>
      <c r="AI318" s="15"/>
      <c r="AJ318" s="41"/>
      <c r="AK318" s="41"/>
    </row>
    <row r="319" spans="34:37" x14ac:dyDescent="0.2">
      <c r="AH319" s="15"/>
      <c r="AI319" s="15"/>
      <c r="AJ319" s="41"/>
      <c r="AK319" s="41"/>
    </row>
    <row r="320" spans="34:37" x14ac:dyDescent="0.2">
      <c r="AH320" s="15"/>
      <c r="AI320" s="15"/>
      <c r="AJ320" s="41"/>
      <c r="AK320" s="41"/>
    </row>
    <row r="321" spans="34:37" x14ac:dyDescent="0.2">
      <c r="AH321" s="15"/>
      <c r="AI321" s="15"/>
      <c r="AJ321" s="41"/>
      <c r="AK321" s="41"/>
    </row>
    <row r="322" spans="34:37" x14ac:dyDescent="0.2">
      <c r="AH322" s="15"/>
      <c r="AI322" s="15"/>
      <c r="AJ322" s="41"/>
      <c r="AK322" s="41"/>
    </row>
    <row r="323" spans="34:37" x14ac:dyDescent="0.2">
      <c r="AH323" s="15"/>
      <c r="AI323" s="15"/>
      <c r="AJ323" s="41"/>
      <c r="AK323" s="41"/>
    </row>
    <row r="324" spans="34:37" x14ac:dyDescent="0.2">
      <c r="AH324" s="15"/>
      <c r="AI324" s="15"/>
      <c r="AJ324" s="41"/>
      <c r="AK324" s="41"/>
    </row>
    <row r="325" spans="34:37" x14ac:dyDescent="0.2">
      <c r="AH325" s="15"/>
      <c r="AI325" s="15"/>
      <c r="AJ325" s="41"/>
      <c r="AK325" s="41"/>
    </row>
    <row r="326" spans="34:37" x14ac:dyDescent="0.2">
      <c r="AH326" s="15"/>
      <c r="AI326" s="15"/>
      <c r="AJ326" s="41"/>
      <c r="AK326" s="41"/>
    </row>
    <row r="327" spans="34:37" x14ac:dyDescent="0.2">
      <c r="AH327" s="15"/>
      <c r="AI327" s="15"/>
      <c r="AJ327" s="41"/>
      <c r="AK327" s="41"/>
    </row>
    <row r="328" spans="34:37" x14ac:dyDescent="0.2">
      <c r="AH328" s="15"/>
      <c r="AI328" s="15"/>
      <c r="AJ328" s="41"/>
      <c r="AK328" s="41"/>
    </row>
    <row r="329" spans="34:37" x14ac:dyDescent="0.2">
      <c r="AH329" s="15"/>
      <c r="AI329" s="15"/>
      <c r="AJ329" s="41"/>
      <c r="AK329" s="41"/>
    </row>
    <row r="330" spans="34:37" x14ac:dyDescent="0.2">
      <c r="AH330" s="15"/>
      <c r="AI330" s="15"/>
      <c r="AJ330" s="41"/>
      <c r="AK330" s="41"/>
    </row>
    <row r="331" spans="34:37" x14ac:dyDescent="0.2">
      <c r="AH331" s="15"/>
      <c r="AI331" s="15"/>
      <c r="AJ331" s="41"/>
      <c r="AK331" s="41"/>
    </row>
    <row r="332" spans="34:37" x14ac:dyDescent="0.2">
      <c r="AH332" s="15"/>
      <c r="AI332" s="15"/>
      <c r="AJ332" s="41"/>
      <c r="AK332" s="41"/>
    </row>
    <row r="333" spans="34:37" x14ac:dyDescent="0.2">
      <c r="AH333" s="15"/>
      <c r="AI333" s="15"/>
      <c r="AJ333" s="41"/>
      <c r="AK333" s="41"/>
    </row>
    <row r="334" spans="34:37" x14ac:dyDescent="0.2">
      <c r="AH334" s="15"/>
      <c r="AI334" s="15"/>
      <c r="AJ334" s="41"/>
      <c r="AK334" s="41"/>
    </row>
    <row r="335" spans="34:37" x14ac:dyDescent="0.2">
      <c r="AH335" s="15"/>
      <c r="AI335" s="15"/>
      <c r="AJ335" s="41"/>
      <c r="AK335" s="41"/>
    </row>
    <row r="336" spans="34:37" x14ac:dyDescent="0.2">
      <c r="AH336" s="15"/>
      <c r="AI336" s="15"/>
      <c r="AJ336" s="41"/>
      <c r="AK336" s="41"/>
    </row>
    <row r="337" spans="34:37" x14ac:dyDescent="0.2">
      <c r="AH337" s="15"/>
      <c r="AI337" s="15"/>
      <c r="AJ337" s="41"/>
      <c r="AK337" s="41"/>
    </row>
    <row r="338" spans="34:37" x14ac:dyDescent="0.2">
      <c r="AH338" s="15"/>
      <c r="AI338" s="15"/>
      <c r="AJ338" s="41"/>
      <c r="AK338" s="41"/>
    </row>
    <row r="339" spans="34:37" x14ac:dyDescent="0.2">
      <c r="AH339" s="15"/>
      <c r="AI339" s="15"/>
      <c r="AJ339" s="41"/>
      <c r="AK339" s="41"/>
    </row>
    <row r="340" spans="34:37" x14ac:dyDescent="0.2">
      <c r="AH340" s="15"/>
      <c r="AI340" s="15"/>
      <c r="AJ340" s="41"/>
      <c r="AK340" s="41"/>
    </row>
    <row r="341" spans="34:37" x14ac:dyDescent="0.2">
      <c r="AH341" s="15"/>
      <c r="AI341" s="15"/>
      <c r="AJ341" s="41"/>
      <c r="AK341" s="41"/>
    </row>
    <row r="342" spans="34:37" x14ac:dyDescent="0.2">
      <c r="AH342" s="15"/>
      <c r="AI342" s="15"/>
      <c r="AJ342" s="41"/>
      <c r="AK342" s="41"/>
    </row>
    <row r="343" spans="34:37" x14ac:dyDescent="0.2">
      <c r="AH343" s="15"/>
      <c r="AI343" s="15"/>
      <c r="AJ343" s="41"/>
      <c r="AK343" s="41"/>
    </row>
    <row r="344" spans="34:37" x14ac:dyDescent="0.2">
      <c r="AH344" s="15"/>
      <c r="AI344" s="15"/>
      <c r="AJ344" s="41"/>
      <c r="AK344" s="41"/>
    </row>
    <row r="345" spans="34:37" x14ac:dyDescent="0.2">
      <c r="AH345" s="15"/>
      <c r="AI345" s="15"/>
      <c r="AJ345" s="41"/>
      <c r="AK345" s="41"/>
    </row>
    <row r="346" spans="34:37" x14ac:dyDescent="0.2">
      <c r="AH346" s="15"/>
      <c r="AI346" s="15"/>
      <c r="AJ346" s="41"/>
      <c r="AK346" s="41"/>
    </row>
    <row r="347" spans="34:37" x14ac:dyDescent="0.2">
      <c r="AH347" s="15"/>
      <c r="AI347" s="15"/>
      <c r="AJ347" s="41"/>
      <c r="AK347" s="41"/>
    </row>
    <row r="348" spans="34:37" x14ac:dyDescent="0.2">
      <c r="AH348" s="15"/>
      <c r="AI348" s="15"/>
      <c r="AJ348" s="41"/>
      <c r="AK348" s="41"/>
    </row>
    <row r="349" spans="34:37" x14ac:dyDescent="0.2">
      <c r="AH349" s="15"/>
      <c r="AI349" s="15"/>
      <c r="AJ349" s="41"/>
      <c r="AK349" s="41"/>
    </row>
    <row r="350" spans="34:37" x14ac:dyDescent="0.2">
      <c r="AH350" s="15"/>
      <c r="AI350" s="15"/>
      <c r="AJ350" s="41"/>
      <c r="AK350" s="41"/>
    </row>
    <row r="351" spans="34:37" x14ac:dyDescent="0.2">
      <c r="AH351" s="15"/>
      <c r="AI351" s="15"/>
      <c r="AJ351" s="41"/>
      <c r="AK351" s="41"/>
    </row>
    <row r="352" spans="34:37" x14ac:dyDescent="0.2">
      <c r="AH352" s="15"/>
      <c r="AI352" s="15"/>
      <c r="AJ352" s="41"/>
      <c r="AK352" s="41"/>
    </row>
    <row r="353" spans="34:37" x14ac:dyDescent="0.2">
      <c r="AH353" s="15"/>
      <c r="AI353" s="15"/>
      <c r="AJ353" s="41"/>
      <c r="AK353" s="41"/>
    </row>
    <row r="354" spans="34:37" x14ac:dyDescent="0.2">
      <c r="AH354" s="15"/>
      <c r="AI354" s="15"/>
      <c r="AJ354" s="41"/>
      <c r="AK354" s="41"/>
    </row>
    <row r="355" spans="34:37" x14ac:dyDescent="0.2">
      <c r="AH355" s="15"/>
      <c r="AI355" s="15"/>
      <c r="AJ355" s="41"/>
      <c r="AK355" s="41"/>
    </row>
    <row r="356" spans="34:37" x14ac:dyDescent="0.2">
      <c r="AH356" s="15"/>
      <c r="AI356" s="15"/>
      <c r="AJ356" s="41"/>
      <c r="AK356" s="41"/>
    </row>
    <row r="357" spans="34:37" x14ac:dyDescent="0.2">
      <c r="AH357" s="15"/>
      <c r="AI357" s="15"/>
      <c r="AJ357" s="41"/>
      <c r="AK357" s="41"/>
    </row>
    <row r="358" spans="34:37" x14ac:dyDescent="0.2">
      <c r="AH358" s="15"/>
      <c r="AI358" s="15"/>
      <c r="AJ358" s="41"/>
      <c r="AK358" s="41"/>
    </row>
    <row r="359" spans="34:37" x14ac:dyDescent="0.2">
      <c r="AH359" s="15"/>
      <c r="AI359" s="15"/>
      <c r="AJ359" s="41"/>
      <c r="AK359" s="41"/>
    </row>
    <row r="360" spans="34:37" x14ac:dyDescent="0.2">
      <c r="AH360" s="15"/>
      <c r="AI360" s="15"/>
      <c r="AJ360" s="41"/>
      <c r="AK360" s="41"/>
    </row>
    <row r="361" spans="34:37" x14ac:dyDescent="0.2">
      <c r="AH361" s="15"/>
      <c r="AI361" s="15"/>
      <c r="AJ361" s="41"/>
      <c r="AK361" s="41"/>
    </row>
    <row r="362" spans="34:37" x14ac:dyDescent="0.2">
      <c r="AH362" s="15"/>
      <c r="AI362" s="15"/>
      <c r="AJ362" s="41"/>
      <c r="AK362" s="41"/>
    </row>
    <row r="363" spans="34:37" x14ac:dyDescent="0.2">
      <c r="AH363" s="15"/>
      <c r="AI363" s="15"/>
      <c r="AJ363" s="41"/>
      <c r="AK363" s="41"/>
    </row>
    <row r="364" spans="34:37" x14ac:dyDescent="0.2">
      <c r="AH364" s="15"/>
      <c r="AI364" s="15"/>
      <c r="AJ364" s="41"/>
      <c r="AK364" s="41"/>
    </row>
    <row r="365" spans="34:37" x14ac:dyDescent="0.2">
      <c r="AH365" s="15"/>
      <c r="AI365" s="15"/>
      <c r="AJ365" s="41"/>
      <c r="AK365" s="41"/>
    </row>
    <row r="366" spans="34:37" x14ac:dyDescent="0.2">
      <c r="AH366" s="15"/>
      <c r="AI366" s="15"/>
      <c r="AJ366" s="41"/>
      <c r="AK366" s="41"/>
    </row>
    <row r="367" spans="34:37" x14ac:dyDescent="0.2">
      <c r="AH367" s="15"/>
      <c r="AI367" s="15"/>
      <c r="AJ367" s="41"/>
      <c r="AK367" s="41"/>
    </row>
    <row r="368" spans="34:37" x14ac:dyDescent="0.2">
      <c r="AH368" s="15"/>
      <c r="AI368" s="15"/>
      <c r="AJ368" s="41"/>
      <c r="AK368" s="41"/>
    </row>
    <row r="369" spans="34:37" x14ac:dyDescent="0.2">
      <c r="AH369" s="15"/>
      <c r="AI369" s="15"/>
      <c r="AJ369" s="41"/>
      <c r="AK369" s="41"/>
    </row>
    <row r="370" spans="34:37" x14ac:dyDescent="0.2">
      <c r="AH370" s="15"/>
      <c r="AI370" s="15"/>
      <c r="AJ370" s="41"/>
      <c r="AK370" s="41"/>
    </row>
    <row r="371" spans="34:37" x14ac:dyDescent="0.2">
      <c r="AH371" s="15"/>
      <c r="AI371" s="15"/>
      <c r="AJ371" s="41"/>
      <c r="AK371" s="41"/>
    </row>
    <row r="372" spans="34:37" x14ac:dyDescent="0.2">
      <c r="AH372" s="15"/>
      <c r="AI372" s="15"/>
      <c r="AJ372" s="41"/>
      <c r="AK372" s="41"/>
    </row>
    <row r="373" spans="34:37" x14ac:dyDescent="0.2">
      <c r="AH373" s="15"/>
      <c r="AI373" s="15"/>
      <c r="AJ373" s="41"/>
      <c r="AK373" s="41"/>
    </row>
    <row r="374" spans="34:37" x14ac:dyDescent="0.2">
      <c r="AH374" s="15"/>
      <c r="AI374" s="15"/>
      <c r="AJ374" s="41"/>
      <c r="AK374" s="41"/>
    </row>
    <row r="375" spans="34:37" x14ac:dyDescent="0.2">
      <c r="AH375" s="15"/>
      <c r="AI375" s="15"/>
      <c r="AJ375" s="41"/>
      <c r="AK375" s="41"/>
    </row>
    <row r="376" spans="34:37" x14ac:dyDescent="0.2">
      <c r="AH376" s="15"/>
      <c r="AI376" s="15"/>
      <c r="AJ376" s="41"/>
      <c r="AK376" s="41"/>
    </row>
    <row r="377" spans="34:37" x14ac:dyDescent="0.2">
      <c r="AH377" s="15"/>
      <c r="AI377" s="15"/>
      <c r="AJ377" s="41"/>
      <c r="AK377" s="41"/>
    </row>
    <row r="378" spans="34:37" x14ac:dyDescent="0.2">
      <c r="AH378" s="15"/>
      <c r="AI378" s="15"/>
      <c r="AJ378" s="41"/>
      <c r="AK378" s="41"/>
    </row>
    <row r="379" spans="34:37" x14ac:dyDescent="0.2">
      <c r="AH379" s="15"/>
      <c r="AI379" s="15"/>
      <c r="AJ379" s="41"/>
      <c r="AK379" s="41"/>
    </row>
    <row r="380" spans="34:37" x14ac:dyDescent="0.2">
      <c r="AH380" s="15"/>
      <c r="AI380" s="15"/>
      <c r="AJ380" s="41"/>
      <c r="AK380" s="41"/>
    </row>
    <row r="381" spans="34:37" x14ac:dyDescent="0.2">
      <c r="AH381" s="15"/>
      <c r="AI381" s="15"/>
      <c r="AJ381" s="41"/>
      <c r="AK381" s="41"/>
    </row>
    <row r="382" spans="34:37" x14ac:dyDescent="0.2">
      <c r="AH382" s="15"/>
      <c r="AI382" s="15"/>
      <c r="AJ382" s="41"/>
      <c r="AK382" s="41"/>
    </row>
    <row r="383" spans="34:37" x14ac:dyDescent="0.2">
      <c r="AH383" s="15"/>
      <c r="AI383" s="15"/>
      <c r="AJ383" s="41"/>
      <c r="AK383" s="41"/>
    </row>
    <row r="384" spans="34:37" x14ac:dyDescent="0.2">
      <c r="AH384" s="15"/>
      <c r="AI384" s="15"/>
      <c r="AJ384" s="41"/>
      <c r="AK384" s="41"/>
    </row>
    <row r="385" spans="34:37" x14ac:dyDescent="0.2">
      <c r="AH385" s="15"/>
      <c r="AI385" s="15"/>
      <c r="AJ385" s="41"/>
      <c r="AK385" s="41"/>
    </row>
    <row r="386" spans="34:37" x14ac:dyDescent="0.2">
      <c r="AH386" s="15"/>
      <c r="AI386" s="15"/>
      <c r="AJ386" s="41"/>
      <c r="AK386" s="41"/>
    </row>
    <row r="387" spans="34:37" x14ac:dyDescent="0.2">
      <c r="AH387" s="15"/>
      <c r="AI387" s="15"/>
      <c r="AJ387" s="41"/>
      <c r="AK387" s="41"/>
    </row>
    <row r="388" spans="34:37" x14ac:dyDescent="0.2">
      <c r="AH388" s="15"/>
      <c r="AI388" s="15"/>
      <c r="AJ388" s="41"/>
      <c r="AK388" s="41"/>
    </row>
    <row r="389" spans="34:37" x14ac:dyDescent="0.2">
      <c r="AH389" s="15"/>
      <c r="AI389" s="15"/>
      <c r="AJ389" s="41"/>
      <c r="AK389" s="41"/>
    </row>
    <row r="390" spans="34:37" x14ac:dyDescent="0.2">
      <c r="AH390" s="15"/>
      <c r="AI390" s="15"/>
      <c r="AJ390" s="41"/>
      <c r="AK390" s="41"/>
    </row>
    <row r="391" spans="34:37" x14ac:dyDescent="0.2">
      <c r="AH391" s="15"/>
      <c r="AI391" s="15"/>
      <c r="AJ391" s="41"/>
      <c r="AK391" s="41"/>
    </row>
    <row r="392" spans="34:37" x14ac:dyDescent="0.2">
      <c r="AH392" s="15"/>
      <c r="AI392" s="15"/>
      <c r="AJ392" s="41"/>
      <c r="AK392" s="41"/>
    </row>
    <row r="393" spans="34:37" x14ac:dyDescent="0.2">
      <c r="AH393" s="15"/>
      <c r="AI393" s="15"/>
      <c r="AJ393" s="41"/>
      <c r="AK393" s="41"/>
    </row>
    <row r="394" spans="34:37" x14ac:dyDescent="0.2">
      <c r="AH394" s="15"/>
      <c r="AI394" s="15"/>
      <c r="AJ394" s="41"/>
      <c r="AK394" s="41"/>
    </row>
    <row r="395" spans="34:37" x14ac:dyDescent="0.2">
      <c r="AH395" s="15"/>
      <c r="AI395" s="15"/>
      <c r="AJ395" s="41"/>
      <c r="AK395" s="41"/>
    </row>
    <row r="396" spans="34:37" x14ac:dyDescent="0.2">
      <c r="AH396" s="15"/>
      <c r="AI396" s="15"/>
      <c r="AJ396" s="41"/>
      <c r="AK396" s="41"/>
    </row>
    <row r="397" spans="34:37" x14ac:dyDescent="0.2">
      <c r="AH397" s="15"/>
      <c r="AI397" s="15"/>
      <c r="AJ397" s="41"/>
      <c r="AK397" s="41"/>
    </row>
    <row r="398" spans="34:37" x14ac:dyDescent="0.2">
      <c r="AH398" s="15"/>
      <c r="AI398" s="15"/>
      <c r="AJ398" s="41"/>
      <c r="AK398" s="41"/>
    </row>
    <row r="399" spans="34:37" x14ac:dyDescent="0.2">
      <c r="AH399" s="15"/>
      <c r="AI399" s="15"/>
      <c r="AJ399" s="41"/>
      <c r="AK399" s="41"/>
    </row>
    <row r="400" spans="34:37" x14ac:dyDescent="0.2">
      <c r="AH400" s="15"/>
      <c r="AI400" s="15"/>
      <c r="AJ400" s="41"/>
      <c r="AK400" s="41"/>
    </row>
    <row r="401" spans="34:37" x14ac:dyDescent="0.2">
      <c r="AH401" s="15"/>
      <c r="AI401" s="15"/>
      <c r="AJ401" s="41"/>
      <c r="AK401" s="41"/>
    </row>
    <row r="402" spans="34:37" x14ac:dyDescent="0.2">
      <c r="AH402" s="15"/>
      <c r="AI402" s="15"/>
      <c r="AJ402" s="41"/>
      <c r="AK402" s="41"/>
    </row>
    <row r="403" spans="34:37" x14ac:dyDescent="0.2">
      <c r="AH403" s="15"/>
      <c r="AI403" s="15"/>
      <c r="AJ403" s="41"/>
      <c r="AK403" s="41"/>
    </row>
    <row r="404" spans="34:37" x14ac:dyDescent="0.2">
      <c r="AH404" s="15"/>
      <c r="AI404" s="15"/>
      <c r="AJ404" s="41"/>
      <c r="AK404" s="41"/>
    </row>
    <row r="405" spans="34:37" x14ac:dyDescent="0.2">
      <c r="AH405" s="15"/>
      <c r="AI405" s="15"/>
      <c r="AJ405" s="41"/>
      <c r="AK405" s="41"/>
    </row>
    <row r="406" spans="34:37" x14ac:dyDescent="0.2">
      <c r="AH406" s="15"/>
      <c r="AI406" s="15"/>
      <c r="AJ406" s="41"/>
      <c r="AK406" s="41"/>
    </row>
    <row r="407" spans="34:37" x14ac:dyDescent="0.2">
      <c r="AH407" s="15"/>
      <c r="AI407" s="15"/>
      <c r="AJ407" s="41"/>
      <c r="AK407" s="41"/>
    </row>
    <row r="408" spans="34:37" x14ac:dyDescent="0.2">
      <c r="AH408" s="15"/>
      <c r="AI408" s="15"/>
      <c r="AJ408" s="41"/>
      <c r="AK408" s="41"/>
    </row>
    <row r="409" spans="34:37" x14ac:dyDescent="0.2">
      <c r="AH409" s="15"/>
      <c r="AI409" s="15"/>
      <c r="AJ409" s="15"/>
      <c r="AK409" s="15"/>
    </row>
    <row r="410" spans="34:37" x14ac:dyDescent="0.2">
      <c r="AH410" s="15"/>
      <c r="AI410" s="15"/>
      <c r="AJ410" s="15"/>
      <c r="AK410" s="15"/>
    </row>
    <row r="411" spans="34:37" x14ac:dyDescent="0.2">
      <c r="AH411" s="15"/>
      <c r="AI411" s="15"/>
      <c r="AJ411" s="15"/>
      <c r="AK411" s="15"/>
    </row>
    <row r="412" spans="34:37" x14ac:dyDescent="0.2">
      <c r="AH412" s="15"/>
      <c r="AI412" s="15"/>
      <c r="AJ412" s="15"/>
      <c r="AK412" s="15"/>
    </row>
    <row r="413" spans="34:37" x14ac:dyDescent="0.2">
      <c r="AH413" s="15"/>
      <c r="AI413" s="15"/>
      <c r="AJ413" s="15"/>
      <c r="AK413" s="15"/>
    </row>
    <row r="414" spans="34:37" x14ac:dyDescent="0.2">
      <c r="AH414" s="15"/>
      <c r="AI414" s="15"/>
      <c r="AJ414" s="15"/>
      <c r="AK414" s="15"/>
    </row>
    <row r="415" spans="34:37" x14ac:dyDescent="0.2">
      <c r="AH415" s="15"/>
      <c r="AI415" s="15"/>
      <c r="AJ415" s="15"/>
      <c r="AK415" s="15"/>
    </row>
    <row r="416" spans="34:37" x14ac:dyDescent="0.2">
      <c r="AH416" s="15"/>
      <c r="AI416" s="15"/>
      <c r="AJ416" s="15"/>
      <c r="AK416" s="15"/>
    </row>
    <row r="417" spans="34:37" x14ac:dyDescent="0.2">
      <c r="AH417" s="15"/>
      <c r="AI417" s="15"/>
      <c r="AJ417" s="15"/>
      <c r="AK417" s="15"/>
    </row>
    <row r="418" spans="34:37" x14ac:dyDescent="0.2">
      <c r="AH418" s="15"/>
      <c r="AI418" s="15"/>
      <c r="AJ418" s="15"/>
      <c r="AK418" s="15"/>
    </row>
    <row r="419" spans="34:37" x14ac:dyDescent="0.2">
      <c r="AH419" s="15"/>
      <c r="AI419" s="15"/>
      <c r="AJ419" s="15"/>
      <c r="AK419" s="15"/>
    </row>
    <row r="420" spans="34:37" x14ac:dyDescent="0.2">
      <c r="AH420" s="15"/>
      <c r="AI420" s="15"/>
      <c r="AJ420" s="15"/>
      <c r="AK420" s="15"/>
    </row>
    <row r="421" spans="34:37" x14ac:dyDescent="0.2">
      <c r="AH421" s="15"/>
      <c r="AI421" s="15"/>
      <c r="AJ421" s="15"/>
      <c r="AK421" s="15"/>
    </row>
    <row r="422" spans="34:37" x14ac:dyDescent="0.2">
      <c r="AH422" s="15"/>
      <c r="AI422" s="15"/>
      <c r="AJ422" s="15"/>
      <c r="AK422" s="15"/>
    </row>
    <row r="423" spans="34:37" x14ac:dyDescent="0.2">
      <c r="AH423" s="15"/>
      <c r="AI423" s="15"/>
      <c r="AJ423" s="15"/>
      <c r="AK423" s="15"/>
    </row>
    <row r="424" spans="34:37" x14ac:dyDescent="0.2">
      <c r="AH424" s="15"/>
      <c r="AI424" s="15"/>
      <c r="AJ424" s="15"/>
      <c r="AK424" s="15"/>
    </row>
    <row r="425" spans="34:37" x14ac:dyDescent="0.2">
      <c r="AH425" s="15"/>
      <c r="AI425" s="15"/>
      <c r="AJ425" s="15"/>
      <c r="AK425" s="15"/>
    </row>
    <row r="426" spans="34:37" x14ac:dyDescent="0.2">
      <c r="AH426" s="15"/>
      <c r="AI426" s="15"/>
      <c r="AJ426" s="15"/>
      <c r="AK426" s="15"/>
    </row>
    <row r="427" spans="34:37" x14ac:dyDescent="0.2">
      <c r="AH427" s="15"/>
      <c r="AI427" s="15"/>
      <c r="AJ427" s="15"/>
      <c r="AK427" s="15"/>
    </row>
    <row r="428" spans="34:37" x14ac:dyDescent="0.2">
      <c r="AH428" s="15"/>
      <c r="AI428" s="15"/>
      <c r="AJ428" s="15"/>
      <c r="AK428" s="15"/>
    </row>
    <row r="429" spans="34:37" x14ac:dyDescent="0.2">
      <c r="AH429" s="15"/>
      <c r="AI429" s="15"/>
      <c r="AJ429" s="15"/>
      <c r="AK429" s="15"/>
    </row>
    <row r="430" spans="34:37" x14ac:dyDescent="0.2">
      <c r="AH430" s="15"/>
      <c r="AI430" s="15"/>
      <c r="AJ430" s="15"/>
      <c r="AK430" s="15"/>
    </row>
    <row r="431" spans="34:37" x14ac:dyDescent="0.2">
      <c r="AH431" s="15"/>
      <c r="AI431" s="15"/>
      <c r="AJ431" s="15"/>
      <c r="AK431" s="15"/>
    </row>
    <row r="432" spans="34:37" x14ac:dyDescent="0.2">
      <c r="AH432" s="15"/>
      <c r="AI432" s="15"/>
      <c r="AJ432" s="15"/>
      <c r="AK432" s="15"/>
    </row>
    <row r="433" spans="34:37" x14ac:dyDescent="0.2">
      <c r="AH433" s="15"/>
      <c r="AI433" s="15"/>
      <c r="AJ433" s="15"/>
      <c r="AK433" s="15"/>
    </row>
    <row r="434" spans="34:37" x14ac:dyDescent="0.2">
      <c r="AH434" s="15"/>
      <c r="AI434" s="15"/>
      <c r="AJ434" s="15"/>
      <c r="AK434" s="15"/>
    </row>
    <row r="435" spans="34:37" x14ac:dyDescent="0.2">
      <c r="AH435" s="15"/>
      <c r="AI435" s="15"/>
      <c r="AJ435" s="15"/>
      <c r="AK435" s="15"/>
    </row>
    <row r="436" spans="34:37" x14ac:dyDescent="0.2">
      <c r="AH436" s="15"/>
      <c r="AI436" s="15"/>
      <c r="AJ436" s="15"/>
      <c r="AK436" s="15"/>
    </row>
    <row r="437" spans="34:37" x14ac:dyDescent="0.2">
      <c r="AH437" s="15"/>
      <c r="AI437" s="15"/>
      <c r="AJ437" s="15"/>
      <c r="AK437" s="15"/>
    </row>
    <row r="438" spans="34:37" x14ac:dyDescent="0.2">
      <c r="AH438" s="15"/>
      <c r="AI438" s="15"/>
      <c r="AJ438" s="15"/>
      <c r="AK438" s="15"/>
    </row>
    <row r="439" spans="34:37" x14ac:dyDescent="0.2">
      <c r="AH439" s="15"/>
      <c r="AI439" s="15"/>
      <c r="AJ439" s="15"/>
      <c r="AK439" s="15"/>
    </row>
    <row r="440" spans="34:37" x14ac:dyDescent="0.2">
      <c r="AH440" s="15"/>
      <c r="AI440" s="15"/>
      <c r="AJ440" s="15"/>
      <c r="AK440" s="15"/>
    </row>
    <row r="441" spans="34:37" x14ac:dyDescent="0.2">
      <c r="AH441" s="15"/>
      <c r="AI441" s="15"/>
      <c r="AJ441" s="15"/>
      <c r="AK441" s="15"/>
    </row>
    <row r="442" spans="34:37" x14ac:dyDescent="0.2">
      <c r="AH442" s="15"/>
      <c r="AI442" s="15"/>
      <c r="AJ442" s="15"/>
      <c r="AK442" s="15"/>
    </row>
    <row r="443" spans="34:37" x14ac:dyDescent="0.2">
      <c r="AH443" s="15"/>
      <c r="AI443" s="15"/>
      <c r="AJ443" s="15"/>
      <c r="AK443" s="15"/>
    </row>
    <row r="444" spans="34:37" x14ac:dyDescent="0.2">
      <c r="AH444" s="15"/>
      <c r="AI444" s="15"/>
      <c r="AJ444" s="15"/>
      <c r="AK444" s="15"/>
    </row>
    <row r="445" spans="34:37" x14ac:dyDescent="0.2">
      <c r="AH445" s="15"/>
      <c r="AI445" s="15"/>
      <c r="AJ445" s="15"/>
      <c r="AK445" s="15"/>
    </row>
    <row r="446" spans="34:37" x14ac:dyDescent="0.2">
      <c r="AH446" s="15"/>
      <c r="AI446" s="15"/>
      <c r="AJ446" s="15"/>
      <c r="AK446" s="15"/>
    </row>
    <row r="447" spans="34:37" x14ac:dyDescent="0.2">
      <c r="AH447" s="15"/>
      <c r="AI447" s="15"/>
      <c r="AJ447" s="15"/>
      <c r="AK447" s="15"/>
    </row>
    <row r="448" spans="34:37" x14ac:dyDescent="0.2">
      <c r="AH448" s="15"/>
      <c r="AI448" s="15"/>
      <c r="AJ448" s="15"/>
      <c r="AK448" s="15"/>
    </row>
    <row r="449" spans="34:37" x14ac:dyDescent="0.2">
      <c r="AH449" s="15"/>
      <c r="AI449" s="15"/>
      <c r="AJ449" s="15"/>
      <c r="AK449" s="15"/>
    </row>
    <row r="450" spans="34:37" x14ac:dyDescent="0.2">
      <c r="AH450" s="15"/>
      <c r="AI450" s="15"/>
      <c r="AJ450" s="15"/>
      <c r="AK450" s="15"/>
    </row>
    <row r="451" spans="34:37" x14ac:dyDescent="0.2">
      <c r="AH451" s="15"/>
      <c r="AI451" s="15"/>
      <c r="AJ451" s="15"/>
      <c r="AK451" s="15"/>
    </row>
    <row r="452" spans="34:37" x14ac:dyDescent="0.2">
      <c r="AH452" s="15"/>
      <c r="AI452" s="15"/>
      <c r="AJ452" s="15"/>
      <c r="AK452" s="15"/>
    </row>
    <row r="453" spans="34:37" x14ac:dyDescent="0.2">
      <c r="AH453" s="15"/>
      <c r="AI453" s="15"/>
      <c r="AJ453" s="15"/>
      <c r="AK453" s="15"/>
    </row>
    <row r="454" spans="34:37" x14ac:dyDescent="0.2">
      <c r="AH454" s="15"/>
      <c r="AI454" s="15"/>
      <c r="AJ454" s="15"/>
      <c r="AK454" s="15"/>
    </row>
    <row r="455" spans="34:37" x14ac:dyDescent="0.2">
      <c r="AH455" s="15"/>
      <c r="AI455" s="15"/>
      <c r="AJ455" s="15"/>
      <c r="AK455" s="15"/>
    </row>
    <row r="456" spans="34:37" x14ac:dyDescent="0.2">
      <c r="AH456" s="15"/>
      <c r="AI456" s="15"/>
      <c r="AJ456" s="15"/>
      <c r="AK456" s="15"/>
    </row>
    <row r="457" spans="34:37" x14ac:dyDescent="0.2">
      <c r="AH457" s="15"/>
      <c r="AI457" s="15"/>
      <c r="AJ457" s="15"/>
      <c r="AK457" s="15"/>
    </row>
    <row r="458" spans="34:37" x14ac:dyDescent="0.2">
      <c r="AH458" s="15"/>
      <c r="AI458" s="15"/>
      <c r="AJ458" s="15"/>
      <c r="AK458" s="15"/>
    </row>
    <row r="459" spans="34:37" x14ac:dyDescent="0.2">
      <c r="AH459" s="15"/>
      <c r="AI459" s="15"/>
      <c r="AJ459" s="15"/>
      <c r="AK459" s="15"/>
    </row>
    <row r="460" spans="34:37" x14ac:dyDescent="0.2">
      <c r="AH460" s="15"/>
      <c r="AI460" s="15"/>
      <c r="AJ460" s="15"/>
      <c r="AK460" s="15"/>
    </row>
    <row r="461" spans="34:37" x14ac:dyDescent="0.2">
      <c r="AH461" s="15"/>
      <c r="AI461" s="15"/>
      <c r="AJ461" s="15"/>
      <c r="AK461" s="15"/>
    </row>
    <row r="462" spans="34:37" x14ac:dyDescent="0.2">
      <c r="AH462" s="15"/>
      <c r="AI462" s="15"/>
      <c r="AJ462" s="15"/>
      <c r="AK462" s="15"/>
    </row>
    <row r="463" spans="34:37" x14ac:dyDescent="0.2">
      <c r="AH463" s="15"/>
      <c r="AI463" s="15"/>
      <c r="AJ463" s="15"/>
      <c r="AK463" s="15"/>
    </row>
    <row r="464" spans="34:37" x14ac:dyDescent="0.2">
      <c r="AH464" s="15"/>
      <c r="AI464" s="15"/>
      <c r="AJ464" s="15"/>
      <c r="AK464" s="15"/>
    </row>
    <row r="465" spans="34:37" x14ac:dyDescent="0.2">
      <c r="AH465" s="15"/>
      <c r="AI465" s="15"/>
      <c r="AJ465" s="15"/>
      <c r="AK465" s="15"/>
    </row>
    <row r="466" spans="34:37" x14ac:dyDescent="0.2">
      <c r="AH466" s="15"/>
      <c r="AI466" s="15"/>
      <c r="AJ466" s="15"/>
      <c r="AK466" s="15"/>
    </row>
    <row r="467" spans="34:37" x14ac:dyDescent="0.2">
      <c r="AH467" s="15"/>
      <c r="AI467" s="15"/>
      <c r="AJ467" s="15"/>
      <c r="AK467" s="15"/>
    </row>
    <row r="468" spans="34:37" x14ac:dyDescent="0.2">
      <c r="AH468" s="15"/>
      <c r="AI468" s="15"/>
      <c r="AJ468" s="15"/>
      <c r="AK468" s="15"/>
    </row>
    <row r="469" spans="34:37" x14ac:dyDescent="0.2">
      <c r="AH469" s="15"/>
      <c r="AI469" s="15"/>
      <c r="AJ469" s="15"/>
      <c r="AK469" s="15"/>
    </row>
    <row r="470" spans="34:37" x14ac:dyDescent="0.2">
      <c r="AH470" s="15"/>
      <c r="AI470" s="15"/>
      <c r="AJ470" s="15"/>
      <c r="AK470" s="15"/>
    </row>
    <row r="471" spans="34:37" x14ac:dyDescent="0.2">
      <c r="AH471" s="15"/>
      <c r="AI471" s="15"/>
      <c r="AJ471" s="15"/>
      <c r="AK471" s="15"/>
    </row>
    <row r="472" spans="34:37" x14ac:dyDescent="0.2">
      <c r="AH472" s="15"/>
      <c r="AI472" s="15"/>
      <c r="AJ472" s="15"/>
      <c r="AK472" s="15"/>
    </row>
    <row r="473" spans="34:37" x14ac:dyDescent="0.2">
      <c r="AH473" s="15"/>
      <c r="AI473" s="15"/>
      <c r="AJ473" s="15"/>
      <c r="AK473" s="15"/>
    </row>
    <row r="474" spans="34:37" x14ac:dyDescent="0.2">
      <c r="AH474" s="15"/>
      <c r="AI474" s="15"/>
      <c r="AJ474" s="15"/>
      <c r="AK474" s="15"/>
    </row>
    <row r="475" spans="34:37" x14ac:dyDescent="0.2">
      <c r="AH475" s="15"/>
      <c r="AI475" s="15"/>
      <c r="AJ475" s="15"/>
      <c r="AK475" s="15"/>
    </row>
    <row r="476" spans="34:37" x14ac:dyDescent="0.2">
      <c r="AH476" s="15"/>
      <c r="AI476" s="15"/>
      <c r="AJ476" s="15"/>
      <c r="AK476" s="15"/>
    </row>
    <row r="477" spans="34:37" x14ac:dyDescent="0.2">
      <c r="AH477" s="15"/>
      <c r="AI477" s="15"/>
      <c r="AJ477" s="15"/>
      <c r="AK477" s="15"/>
    </row>
    <row r="478" spans="34:37" x14ac:dyDescent="0.2">
      <c r="AH478" s="15"/>
      <c r="AI478" s="15"/>
      <c r="AJ478" s="15"/>
      <c r="AK478" s="15"/>
    </row>
    <row r="479" spans="34:37" x14ac:dyDescent="0.2">
      <c r="AH479" s="15"/>
      <c r="AI479" s="15"/>
      <c r="AJ479" s="15"/>
      <c r="AK479" s="15"/>
    </row>
    <row r="480" spans="34:37" x14ac:dyDescent="0.2">
      <c r="AH480" s="15"/>
      <c r="AI480" s="15"/>
      <c r="AJ480" s="15"/>
      <c r="AK480" s="15"/>
    </row>
    <row r="481" spans="34:37" x14ac:dyDescent="0.2">
      <c r="AH481" s="15"/>
      <c r="AI481" s="15"/>
      <c r="AJ481" s="15"/>
      <c r="AK481" s="15"/>
    </row>
    <row r="482" spans="34:37" x14ac:dyDescent="0.2">
      <c r="AH482" s="15"/>
      <c r="AI482" s="15"/>
      <c r="AJ482" s="15"/>
      <c r="AK482" s="15"/>
    </row>
    <row r="483" spans="34:37" x14ac:dyDescent="0.2">
      <c r="AH483" s="15"/>
      <c r="AI483" s="15"/>
      <c r="AJ483" s="15"/>
      <c r="AK483" s="15"/>
    </row>
    <row r="484" spans="34:37" x14ac:dyDescent="0.2">
      <c r="AH484" s="15"/>
      <c r="AI484" s="15"/>
      <c r="AJ484" s="15"/>
      <c r="AK484" s="15"/>
    </row>
    <row r="485" spans="34:37" x14ac:dyDescent="0.2">
      <c r="AH485" s="15"/>
      <c r="AI485" s="15"/>
      <c r="AJ485" s="15"/>
      <c r="AK485" s="15"/>
    </row>
    <row r="486" spans="34:37" x14ac:dyDescent="0.2">
      <c r="AH486" s="15"/>
      <c r="AI486" s="15"/>
      <c r="AJ486" s="15"/>
      <c r="AK486" s="15"/>
    </row>
    <row r="487" spans="34:37" x14ac:dyDescent="0.2">
      <c r="AH487" s="15"/>
      <c r="AI487" s="15"/>
      <c r="AJ487" s="15"/>
      <c r="AK487" s="15"/>
    </row>
    <row r="488" spans="34:37" x14ac:dyDescent="0.2">
      <c r="AH488" s="15"/>
      <c r="AI488" s="15"/>
      <c r="AJ488" s="15"/>
      <c r="AK488" s="15"/>
    </row>
    <row r="489" spans="34:37" x14ac:dyDescent="0.2">
      <c r="AH489" s="15"/>
      <c r="AI489" s="15"/>
      <c r="AJ489" s="15"/>
      <c r="AK489" s="15"/>
    </row>
    <row r="490" spans="34:37" x14ac:dyDescent="0.2">
      <c r="AH490" s="15"/>
      <c r="AI490" s="15"/>
      <c r="AJ490" s="15"/>
      <c r="AK490" s="15"/>
    </row>
    <row r="491" spans="34:37" x14ac:dyDescent="0.2">
      <c r="AH491" s="15"/>
      <c r="AI491" s="15"/>
      <c r="AJ491" s="15"/>
      <c r="AK491" s="15"/>
    </row>
    <row r="492" spans="34:37" x14ac:dyDescent="0.2">
      <c r="AH492" s="15"/>
      <c r="AI492" s="15"/>
      <c r="AJ492" s="15"/>
      <c r="AK492" s="15"/>
    </row>
    <row r="493" spans="34:37" x14ac:dyDescent="0.2">
      <c r="AH493" s="15"/>
      <c r="AI493" s="15"/>
      <c r="AJ493" s="15"/>
      <c r="AK493" s="15"/>
    </row>
    <row r="494" spans="34:37" x14ac:dyDescent="0.2">
      <c r="AH494" s="15"/>
      <c r="AI494" s="15"/>
      <c r="AJ494" s="15"/>
      <c r="AK494" s="15"/>
    </row>
    <row r="495" spans="34:37" x14ac:dyDescent="0.2">
      <c r="AH495" s="15"/>
      <c r="AI495" s="15"/>
      <c r="AJ495" s="15"/>
      <c r="AK495" s="15"/>
    </row>
    <row r="496" spans="34:37" x14ac:dyDescent="0.2">
      <c r="AH496" s="15"/>
      <c r="AI496" s="15"/>
      <c r="AJ496" s="15"/>
      <c r="AK496" s="15"/>
    </row>
    <row r="497" spans="34:37" x14ac:dyDescent="0.2">
      <c r="AH497" s="15"/>
      <c r="AI497" s="15"/>
      <c r="AJ497" s="15"/>
      <c r="AK497" s="15"/>
    </row>
    <row r="498" spans="34:37" x14ac:dyDescent="0.2">
      <c r="AH498" s="15"/>
      <c r="AI498" s="15"/>
      <c r="AJ498" s="15"/>
      <c r="AK498" s="15"/>
    </row>
    <row r="499" spans="34:37" x14ac:dyDescent="0.2">
      <c r="AH499" s="15"/>
      <c r="AI499" s="15"/>
      <c r="AJ499" s="15"/>
      <c r="AK499" s="15"/>
    </row>
    <row r="500" spans="34:37" x14ac:dyDescent="0.2">
      <c r="AH500" s="15"/>
      <c r="AI500" s="15"/>
      <c r="AJ500" s="15"/>
      <c r="AK500" s="15"/>
    </row>
    <row r="501" spans="34:37" x14ac:dyDescent="0.2">
      <c r="AH501" s="15"/>
      <c r="AI501" s="15"/>
      <c r="AJ501" s="15"/>
      <c r="AK501" s="15"/>
    </row>
    <row r="502" spans="34:37" x14ac:dyDescent="0.2">
      <c r="AH502" s="15"/>
      <c r="AI502" s="15"/>
      <c r="AJ502" s="15"/>
      <c r="AK502" s="15"/>
    </row>
    <row r="503" spans="34:37" x14ac:dyDescent="0.2">
      <c r="AH503" s="15"/>
      <c r="AI503" s="15"/>
      <c r="AJ503" s="15"/>
      <c r="AK503" s="15"/>
    </row>
    <row r="504" spans="34:37" x14ac:dyDescent="0.2">
      <c r="AH504" s="15"/>
      <c r="AI504" s="15"/>
      <c r="AJ504" s="15"/>
      <c r="AK504" s="15"/>
    </row>
    <row r="505" spans="34:37" x14ac:dyDescent="0.2">
      <c r="AH505" s="15"/>
      <c r="AI505" s="15"/>
      <c r="AJ505" s="15"/>
      <c r="AK505" s="15"/>
    </row>
    <row r="506" spans="34:37" x14ac:dyDescent="0.2">
      <c r="AH506" s="15"/>
      <c r="AI506" s="15"/>
      <c r="AJ506" s="15"/>
      <c r="AK506" s="15"/>
    </row>
    <row r="507" spans="34:37" x14ac:dyDescent="0.2">
      <c r="AH507" s="15"/>
      <c r="AI507" s="15"/>
      <c r="AJ507" s="15"/>
      <c r="AK507" s="15"/>
    </row>
    <row r="508" spans="34:37" x14ac:dyDescent="0.2">
      <c r="AH508" s="15"/>
      <c r="AI508" s="15"/>
      <c r="AJ508" s="15"/>
      <c r="AK508" s="15"/>
    </row>
    <row r="509" spans="34:37" x14ac:dyDescent="0.2">
      <c r="AH509" s="15"/>
      <c r="AI509" s="15"/>
      <c r="AJ509" s="15"/>
      <c r="AK509" s="15"/>
    </row>
    <row r="510" spans="34:37" x14ac:dyDescent="0.2">
      <c r="AH510" s="15"/>
      <c r="AI510" s="15"/>
      <c r="AJ510" s="15"/>
      <c r="AK510" s="15"/>
    </row>
  </sheetData>
  <mergeCells count="47">
    <mergeCell ref="S16:S17"/>
    <mergeCell ref="T16:T17"/>
    <mergeCell ref="U16:U17"/>
    <mergeCell ref="B26:C27"/>
    <mergeCell ref="G26:G27"/>
    <mergeCell ref="A1:O1"/>
    <mergeCell ref="L55:L57"/>
    <mergeCell ref="M55:N55"/>
    <mergeCell ref="O55:P55"/>
    <mergeCell ref="P56:P57"/>
    <mergeCell ref="B40:C41"/>
    <mergeCell ref="F40:F41"/>
    <mergeCell ref="I40:J41"/>
    <mergeCell ref="B49:C50"/>
    <mergeCell ref="G49:G50"/>
    <mergeCell ref="A55:A57"/>
    <mergeCell ref="B55:B57"/>
    <mergeCell ref="C55:D55"/>
    <mergeCell ref="E55:F55"/>
    <mergeCell ref="H55:H57"/>
    <mergeCell ref="W55:X55"/>
    <mergeCell ref="Y55:Z55"/>
    <mergeCell ref="C56:C57"/>
    <mergeCell ref="D56:D57"/>
    <mergeCell ref="M56:M57"/>
    <mergeCell ref="N56:N57"/>
    <mergeCell ref="O56:O57"/>
    <mergeCell ref="I55:I57"/>
    <mergeCell ref="J55:J57"/>
    <mergeCell ref="K55:K57"/>
    <mergeCell ref="U56:U57"/>
    <mergeCell ref="V56:V57"/>
    <mergeCell ref="Q55:R55"/>
    <mergeCell ref="S55:T55"/>
    <mergeCell ref="U55:V55"/>
    <mergeCell ref="Q56:Q57"/>
    <mergeCell ref="W56:W57"/>
    <mergeCell ref="X56:X57"/>
    <mergeCell ref="Y56:Y57"/>
    <mergeCell ref="Z56:Z57"/>
    <mergeCell ref="T56:T57"/>
    <mergeCell ref="A61:F61"/>
    <mergeCell ref="A63:F63"/>
    <mergeCell ref="A60:F60"/>
    <mergeCell ref="A58:F58"/>
    <mergeCell ref="S56:S57"/>
    <mergeCell ref="R56:R57"/>
  </mergeCells>
  <phoneticPr fontId="2" type="noConversion"/>
  <pageMargins left="0.7" right="0.7" top="0.75" bottom="0.75" header="0.3" footer="0.3"/>
  <pageSetup paperSize="9" scale="41" orientation="landscape" horizontalDpi="4294967292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6</vt:i4>
      </vt:variant>
    </vt:vector>
  </HeadingPairs>
  <TitlesOfParts>
    <vt:vector size="15" baseType="lpstr">
      <vt:lpstr>уд нормы</vt:lpstr>
      <vt:lpstr>расчет УРТ и КПД</vt:lpstr>
      <vt:lpstr>удел. затраты топлива</vt:lpstr>
      <vt:lpstr>субаренда</vt:lpstr>
      <vt:lpstr>расчет потерь горск</vt:lpstr>
      <vt:lpstr>структура тарифа дружк</vt:lpstr>
      <vt:lpstr>расчет потерь золотое</vt:lpstr>
      <vt:lpstr>мини Тошков поссовет</vt:lpstr>
      <vt:lpstr>расчет потерь тошковка</vt:lpstr>
      <vt:lpstr>'удел. затраты топлива'!Заголовки_для_печати</vt:lpstr>
      <vt:lpstr>'расчет потерь горск'!Область_печати</vt:lpstr>
      <vt:lpstr>'расчет потерь золотое'!Область_печати</vt:lpstr>
      <vt:lpstr>'расчет потерь тошковка'!Область_печати</vt:lpstr>
      <vt:lpstr>'расчет УРТ и КПД'!Область_печати</vt:lpstr>
      <vt:lpstr>'структура тарифа дружк'!Область_печати</vt:lpstr>
    </vt:vector>
  </TitlesOfParts>
  <Company>Дом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Виталий</dc:creator>
  <cp:lastModifiedBy>User</cp:lastModifiedBy>
  <cp:lastPrinted>2022-01-19T11:10:36Z</cp:lastPrinted>
  <dcterms:created xsi:type="dcterms:W3CDTF">2003-07-08T11:11:43Z</dcterms:created>
  <dcterms:modified xsi:type="dcterms:W3CDTF">2022-02-10T08:37:45Z</dcterms:modified>
</cp:coreProperties>
</file>